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630" windowHeight="94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9" i="1"/>
  <c r="I57"/>
  <c r="I56"/>
  <c r="C62"/>
  <c r="C61"/>
  <c r="C60"/>
  <c r="C59"/>
  <c r="C58"/>
  <c r="C57"/>
  <c r="C56"/>
  <c r="B7"/>
  <c r="C7"/>
  <c r="B20"/>
  <c r="J20"/>
  <c r="D19"/>
  <c r="H62"/>
  <c r="I62" s="1"/>
  <c r="H61"/>
  <c r="I61" s="1"/>
  <c r="H60"/>
  <c r="H59"/>
  <c r="H58"/>
  <c r="H57"/>
  <c r="H56"/>
  <c r="L25"/>
  <c r="L24"/>
  <c r="L23"/>
  <c r="L22"/>
  <c r="L21"/>
  <c r="D21"/>
  <c r="D22"/>
  <c r="D23"/>
  <c r="D24"/>
  <c r="D25"/>
  <c r="J25"/>
  <c r="J24"/>
  <c r="J23"/>
  <c r="J22"/>
  <c r="J21"/>
  <c r="J19"/>
  <c r="I60" l="1"/>
  <c r="I59"/>
  <c r="I58"/>
  <c r="L27"/>
  <c r="L26"/>
  <c r="I63" l="1"/>
  <c r="B62"/>
  <c r="B45"/>
  <c r="D52" l="1"/>
  <c r="B19"/>
  <c r="G19" l="1"/>
  <c r="B61"/>
  <c r="B60"/>
  <c r="B59"/>
  <c r="B58"/>
  <c r="B57"/>
  <c r="B56"/>
  <c r="C14"/>
  <c r="C13"/>
  <c r="B25"/>
  <c r="B24"/>
  <c r="B23"/>
  <c r="B22"/>
  <c r="B21"/>
  <c r="B32"/>
  <c r="F2"/>
  <c r="B38"/>
  <c r="B37"/>
  <c r="B36"/>
  <c r="B35"/>
  <c r="B34"/>
  <c r="B33"/>
  <c r="G21"/>
  <c r="G23"/>
  <c r="G24"/>
  <c r="G25"/>
  <c r="B51"/>
  <c r="C51" s="1"/>
  <c r="B50"/>
  <c r="C50" s="1"/>
  <c r="B49"/>
  <c r="B48"/>
  <c r="C48" s="1"/>
  <c r="B47"/>
  <c r="B46"/>
  <c r="C46" s="1"/>
  <c r="C45"/>
  <c r="F1"/>
  <c r="D7" s="1"/>
  <c r="B8"/>
  <c r="B9"/>
  <c r="B10"/>
  <c r="B11"/>
  <c r="B12"/>
  <c r="B6"/>
  <c r="D6" l="1"/>
  <c r="M19"/>
  <c r="M22"/>
  <c r="M25"/>
  <c r="E19"/>
  <c r="F19" s="1"/>
  <c r="M21"/>
  <c r="M24"/>
  <c r="M23"/>
  <c r="E33"/>
  <c r="E34"/>
  <c r="E35"/>
  <c r="E36"/>
  <c r="E37"/>
  <c r="E38"/>
  <c r="I64"/>
  <c r="E32"/>
  <c r="D26"/>
  <c r="D27"/>
  <c r="D8"/>
  <c r="E22"/>
  <c r="E25"/>
  <c r="F25" s="1"/>
  <c r="C47"/>
  <c r="E21"/>
  <c r="F21" s="1"/>
  <c r="E24"/>
  <c r="E23"/>
  <c r="G22"/>
  <c r="G27" s="1"/>
  <c r="C49"/>
  <c r="D9"/>
  <c r="D10"/>
  <c r="D11"/>
  <c r="D12"/>
  <c r="E39" l="1"/>
  <c r="D13"/>
  <c r="E40"/>
  <c r="F22"/>
  <c r="D14"/>
  <c r="M28"/>
  <c r="M27"/>
  <c r="M26"/>
  <c r="F24"/>
  <c r="F23"/>
  <c r="C63"/>
  <c r="C64" s="1"/>
  <c r="G28"/>
  <c r="E26"/>
  <c r="E28"/>
  <c r="E27"/>
  <c r="C65" l="1"/>
  <c r="C66"/>
  <c r="I65"/>
  <c r="C67"/>
</calcChain>
</file>

<file path=xl/sharedStrings.xml><?xml version="1.0" encoding="utf-8"?>
<sst xmlns="http://schemas.openxmlformats.org/spreadsheetml/2006/main" count="55" uniqueCount="39">
  <si>
    <t>T0</t>
  </si>
  <si>
    <t>Date and time</t>
  </si>
  <si>
    <t>Time (Days)</t>
  </si>
  <si>
    <t>Dry weight (g)</t>
  </si>
  <si>
    <r>
      <t>Dry weight (g 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)</t>
    </r>
  </si>
  <si>
    <r>
      <t>Dive hole area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):</t>
    </r>
  </si>
  <si>
    <t>2.5 m</t>
  </si>
  <si>
    <t>Time intervals (hours)</t>
  </si>
  <si>
    <r>
      <t>Mean relative current velocities (cm s</t>
    </r>
    <r>
      <rPr>
        <b/>
        <vertAlign val="superscript"/>
        <sz val="11"/>
        <rFont val="Calibri"/>
        <family val="2"/>
        <scheme val="minor"/>
      </rPr>
      <t>-1</t>
    </r>
    <r>
      <rPr>
        <b/>
        <sz val="11"/>
        <rFont val="Calibri"/>
        <family val="2"/>
        <scheme val="minor"/>
      </rPr>
      <t>)</t>
    </r>
  </si>
  <si>
    <t>POC (mg C)</t>
  </si>
  <si>
    <r>
      <t>POC (mg C 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)</t>
    </r>
  </si>
  <si>
    <t>Aggregate abundance per sampling interval</t>
  </si>
  <si>
    <t>Total abundance large aggregates (&gt;3cm)</t>
  </si>
  <si>
    <t>Total abundance small aggregates (&lt;3cm)</t>
  </si>
  <si>
    <t>m</t>
    <phoneticPr fontId="0" type="noConversion"/>
  </si>
  <si>
    <t>Mean length of dive hole (m):</t>
  </si>
  <si>
    <t>Dry weight per sampling interval</t>
  </si>
  <si>
    <t>POC (µgC/mg dry weight)</t>
  </si>
  <si>
    <t>Particulate organic carbon per sampling interval</t>
  </si>
  <si>
    <t>m2</t>
    <phoneticPr fontId="0" type="noConversion"/>
  </si>
  <si>
    <t>surface area sampled</t>
    <phoneticPr fontId="0" type="noConversion"/>
  </si>
  <si>
    <t>aggregate dry weight standing stock</t>
  </si>
  <si>
    <t>aggregate POC standing stock</t>
  </si>
  <si>
    <t>aggregate abundance</t>
  </si>
  <si>
    <t>#/m2</t>
  </si>
  <si>
    <t>mg C/m2</t>
  </si>
  <si>
    <t>mg/m2</t>
  </si>
  <si>
    <r>
      <t>Total aggregate abundance m</t>
    </r>
    <r>
      <rPr>
        <vertAlign val="superscript"/>
        <sz val="11"/>
        <color theme="1"/>
        <rFont val="Calibri"/>
        <family val="2"/>
        <scheme val="minor"/>
      </rPr>
      <t>-2</t>
    </r>
  </si>
  <si>
    <t>% of dry weight</t>
  </si>
  <si>
    <t>Particulate organic nitrogen per sampling interval</t>
  </si>
  <si>
    <t>PON (µgC/mg dry weight)</t>
  </si>
  <si>
    <t>PON (mg C)</t>
  </si>
  <si>
    <r>
      <t>PON (mg C 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)</t>
    </r>
  </si>
  <si>
    <t>aggregate PON standing stock</t>
  </si>
  <si>
    <t>mg N/m2</t>
  </si>
  <si>
    <r>
      <t>POC (mg C m</t>
    </r>
    <r>
      <rPr>
        <vertAlign val="superscript"/>
        <sz val="11"/>
        <color theme="1"/>
        <rFont val="Calibri"/>
        <family val="2"/>
        <scheme val="minor"/>
      </rPr>
      <t xml:space="preserve">-2 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</si>
  <si>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relative drift at 2.5 m (ice vs water below)</t>
  </si>
  <si>
    <t>POC</t>
  </si>
  <si>
    <t>PON</t>
  </si>
</sst>
</file>

<file path=xl/styles.xml><?xml version="1.0" encoding="utf-8"?>
<styleSheet xmlns="http://schemas.openxmlformats.org/spreadsheetml/2006/main">
  <numFmts count="2">
    <numFmt numFmtId="164" formatCode="0.0"/>
    <numFmt numFmtId="166" formatCode="0.0000"/>
  </numFmts>
  <fonts count="7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6">
    <xf numFmtId="0" fontId="0" fillId="0" borderId="0" xfId="0"/>
    <xf numFmtId="22" fontId="0" fillId="0" borderId="0" xfId="0" applyNumberFormat="1"/>
    <xf numFmtId="2" fontId="0" fillId="0" borderId="0" xfId="0" applyNumberFormat="1"/>
    <xf numFmtId="164" fontId="0" fillId="0" borderId="0" xfId="0" applyNumberFormat="1"/>
    <xf numFmtId="0" fontId="3" fillId="0" borderId="0" xfId="0" applyFont="1"/>
    <xf numFmtId="0" fontId="2" fillId="0" borderId="0" xfId="0" applyFont="1"/>
    <xf numFmtId="0" fontId="4" fillId="0" borderId="0" xfId="0" applyFont="1"/>
    <xf numFmtId="49" fontId="0" fillId="0" borderId="0" xfId="0" applyNumberFormat="1"/>
    <xf numFmtId="0" fontId="0" fillId="0" borderId="0" xfId="0" applyFont="1"/>
    <xf numFmtId="22" fontId="0" fillId="0" borderId="0" xfId="0" applyNumberFormat="1" applyFont="1"/>
    <xf numFmtId="2" fontId="0" fillId="0" borderId="0" xfId="0" applyNumberFormat="1" applyFont="1"/>
    <xf numFmtId="1" fontId="0" fillId="0" borderId="0" xfId="0" applyNumberFormat="1" applyFont="1"/>
    <xf numFmtId="2" fontId="2" fillId="0" borderId="0" xfId="0" applyNumberFormat="1" applyFont="1"/>
    <xf numFmtId="1" fontId="0" fillId="0" borderId="0" xfId="0" applyNumberFormat="1"/>
    <xf numFmtId="166" fontId="0" fillId="0" borderId="0" xfId="0" applyNumberFormat="1"/>
    <xf numFmtId="22" fontId="2" fillId="0" borderId="0" xfId="0" applyNumberFormat="1" applyFont="1"/>
  </cellXfs>
  <cellStyles count="2">
    <cellStyle name="Normal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topLeftCell="A4" zoomScale="80" zoomScaleNormal="80" workbookViewId="0">
      <selection activeCell="J11" sqref="J11"/>
    </sheetView>
  </sheetViews>
  <sheetFormatPr defaultRowHeight="15"/>
  <cols>
    <col min="1" max="1" width="19.42578125" customWidth="1"/>
    <col min="2" max="2" width="12.7109375" customWidth="1"/>
    <col min="3" max="3" width="22.85546875" customWidth="1"/>
    <col min="4" max="4" width="17.5703125" customWidth="1"/>
    <col min="5" max="5" width="31" customWidth="1"/>
    <col min="6" max="6" width="17.28515625" customWidth="1"/>
    <col min="7" max="7" width="15.85546875" customWidth="1"/>
    <col min="8" max="8" width="13" customWidth="1"/>
    <col min="9" max="9" width="22.7109375" customWidth="1"/>
    <col min="19" max="19" width="15" customWidth="1"/>
    <col min="21" max="21" width="13" customWidth="1"/>
    <col min="22" max="22" width="11.85546875" customWidth="1"/>
    <col min="23" max="23" width="14.42578125" customWidth="1"/>
    <col min="25" max="25" width="12.5703125" customWidth="1"/>
  </cols>
  <sheetData>
    <row r="1" spans="1:9" ht="17.25">
      <c r="A1" s="1">
        <v>41119.458333333336</v>
      </c>
      <c r="B1" s="7" t="s">
        <v>0</v>
      </c>
      <c r="E1" t="s">
        <v>5</v>
      </c>
      <c r="F1" s="3">
        <f>((1.42+1.7+1.64)/3)*((1.88+2.13+1.98)/3)</f>
        <v>3.1680444444444449</v>
      </c>
    </row>
    <row r="2" spans="1:9">
      <c r="E2" t="s">
        <v>15</v>
      </c>
      <c r="F2" s="3">
        <f>(1.42+1.7+1.64+1.88+2.13+1.98)/6</f>
        <v>1.7916666666666667</v>
      </c>
    </row>
    <row r="3" spans="1:9">
      <c r="A3" s="5" t="s">
        <v>16</v>
      </c>
    </row>
    <row r="5" spans="1:9" ht="17.25">
      <c r="A5" s="8" t="s">
        <v>1</v>
      </c>
      <c r="B5" s="8" t="s">
        <v>2</v>
      </c>
      <c r="C5" s="8" t="s">
        <v>3</v>
      </c>
      <c r="D5" s="8" t="s">
        <v>4</v>
      </c>
    </row>
    <row r="6" spans="1:9">
      <c r="A6" s="9">
        <v>41119.916666666664</v>
      </c>
      <c r="B6" s="10">
        <f>A6-$A$1</f>
        <v>0.45833333332848269</v>
      </c>
      <c r="C6" s="8">
        <v>0.73150000000000004</v>
      </c>
      <c r="D6" s="10">
        <f>C6/$F$1</f>
        <v>0.2308995384464303</v>
      </c>
      <c r="E6" s="3">
        <v>209.881402175011</v>
      </c>
    </row>
    <row r="7" spans="1:9">
      <c r="A7" s="9">
        <v>41120.409722222219</v>
      </c>
      <c r="B7" s="10">
        <f>A7-$A$1</f>
        <v>0.95138888888322981</v>
      </c>
      <c r="C7" s="8">
        <f>(3.059-((3.043+3.042+3.042+3.042+3.041+3.042+3.042)/7))+(3.064-((3.043+3.042+3.042+3.042+3.041+3.042+3.042)/7))+(3.056-((3.043+3.042+3.042+3.042+3.041+3.042+3.042)/7))+(3.054-((3.043+3.042+3.042+3.042+3.041+3.042+3.042)/7))+(3.148-((3.043+3.042+3.042+3.042+3.041+3.042+3.042)/7))</f>
        <v>0.17100000000000337</v>
      </c>
      <c r="D7" s="10">
        <f>C7/$F$1</f>
        <v>5.3976515480984769E-2</v>
      </c>
      <c r="E7" s="3">
        <v>12.700862835110071</v>
      </c>
    </row>
    <row r="8" spans="1:9">
      <c r="A8" s="9">
        <v>41120.927083333336</v>
      </c>
      <c r="B8" s="10">
        <f t="shared" ref="B8:B12" si="0">A8-$A$1</f>
        <v>1.46875</v>
      </c>
      <c r="C8" s="8">
        <v>2.4636</v>
      </c>
      <c r="D8" s="10">
        <f>C8/$F$1</f>
        <v>0.77764060549094416</v>
      </c>
      <c r="E8" s="3">
        <v>108.09105968484255</v>
      </c>
      <c r="I8" s="2"/>
    </row>
    <row r="9" spans="1:9">
      <c r="A9" s="9">
        <v>41121.4375</v>
      </c>
      <c r="B9" s="10">
        <f t="shared" si="0"/>
        <v>1.9791666666642413</v>
      </c>
      <c r="C9" s="8">
        <v>5.4515000000000002</v>
      </c>
      <c r="D9" s="10">
        <f t="shared" ref="D9:D12" si="1">C9/$F$1</f>
        <v>1.7207776265765069</v>
      </c>
      <c r="E9" s="3">
        <v>117.03556361328732</v>
      </c>
    </row>
    <row r="10" spans="1:9">
      <c r="A10" s="9">
        <v>41121.885416666664</v>
      </c>
      <c r="B10" s="10">
        <f t="shared" si="0"/>
        <v>2.4270833333284827</v>
      </c>
      <c r="C10" s="8">
        <v>0.90100000000000002</v>
      </c>
      <c r="D10" s="10">
        <f t="shared" si="1"/>
        <v>0.28440257572144045</v>
      </c>
      <c r="E10" s="3">
        <v>127.95185636443632</v>
      </c>
    </row>
    <row r="11" spans="1:9">
      <c r="A11" s="9">
        <v>41122.465277777781</v>
      </c>
      <c r="B11" s="10">
        <f t="shared" si="0"/>
        <v>3.0069444444452529</v>
      </c>
      <c r="C11" s="8">
        <v>0.25209999999999999</v>
      </c>
      <c r="D11" s="10">
        <f t="shared" si="1"/>
        <v>7.9575903817286506E-2</v>
      </c>
      <c r="E11" s="3">
        <v>25.257667236761431</v>
      </c>
    </row>
    <row r="12" spans="1:9">
      <c r="A12" s="9">
        <v>41122.864583333336</v>
      </c>
      <c r="B12" s="10">
        <f t="shared" si="0"/>
        <v>3.40625</v>
      </c>
      <c r="C12" s="8">
        <v>5.0020000000000002E-2</v>
      </c>
      <c r="D12" s="10">
        <f t="shared" si="1"/>
        <v>1.5788919908531023E-2</v>
      </c>
      <c r="E12" s="3">
        <v>136.054406613423</v>
      </c>
    </row>
    <row r="13" spans="1:9">
      <c r="A13" s="4"/>
      <c r="C13" s="2">
        <f>SUM(C6:C12)/7</f>
        <v>1.4315314285714291</v>
      </c>
      <c r="D13" s="2">
        <f>AVERAGE(D6:D12)</f>
        <v>0.45186595506316057</v>
      </c>
    </row>
    <row r="14" spans="1:9">
      <c r="A14" s="4"/>
      <c r="C14" s="2">
        <f>STDEV(C6:C12)</f>
        <v>1.9530058991840293</v>
      </c>
      <c r="D14" s="2">
        <f>STDEV(D6:D12)</f>
        <v>0.61647048626759793</v>
      </c>
    </row>
    <row r="15" spans="1:9">
      <c r="A15" s="4"/>
    </row>
    <row r="16" spans="1:9">
      <c r="A16" s="5" t="s">
        <v>18</v>
      </c>
      <c r="I16" s="5" t="s">
        <v>29</v>
      </c>
    </row>
    <row r="18" spans="1:25" ht="17.25">
      <c r="A18" s="8" t="s">
        <v>1</v>
      </c>
      <c r="B18" s="8" t="s">
        <v>2</v>
      </c>
      <c r="C18" t="s">
        <v>17</v>
      </c>
      <c r="D18" s="8" t="s">
        <v>9</v>
      </c>
      <c r="E18" s="8" t="s">
        <v>10</v>
      </c>
      <c r="F18" t="s">
        <v>35</v>
      </c>
      <c r="G18" t="s">
        <v>28</v>
      </c>
      <c r="I18" s="8" t="s">
        <v>1</v>
      </c>
      <c r="J18" s="8" t="s">
        <v>2</v>
      </c>
      <c r="K18" t="s">
        <v>30</v>
      </c>
      <c r="L18" t="s">
        <v>31</v>
      </c>
      <c r="M18" t="s">
        <v>32</v>
      </c>
    </row>
    <row r="19" spans="1:25">
      <c r="A19" s="9">
        <v>41119.916666666664</v>
      </c>
      <c r="B19" s="10">
        <f>A19-$A$1</f>
        <v>0.45833333332848269</v>
      </c>
      <c r="C19" s="13">
        <v>206.24346016784401</v>
      </c>
      <c r="D19" s="11">
        <f>(C19*($C6*1000))/1000</f>
        <v>150.86709111277787</v>
      </c>
      <c r="E19" s="10">
        <f>D19/$F$1</f>
        <v>47.621519760349905</v>
      </c>
      <c r="F19" s="2">
        <f>E19*(1/B19)</f>
        <v>103.90149766004487</v>
      </c>
      <c r="G19" s="2">
        <f>(D19*100)/(C6*1000)</f>
        <v>20.624346016784397</v>
      </c>
      <c r="I19" s="9">
        <v>41119.916666666664</v>
      </c>
      <c r="J19" s="10">
        <f>I19-$A$1</f>
        <v>0.45833333332848269</v>
      </c>
      <c r="K19" s="13">
        <v>24.380477613901707</v>
      </c>
      <c r="L19" s="10">
        <f>(K19*($C6*1000))/1000</f>
        <v>17.834319374569098</v>
      </c>
      <c r="M19" s="10">
        <f>L19/$F$1</f>
        <v>5.6294410281534297</v>
      </c>
      <c r="Y19" s="2"/>
    </row>
    <row r="20" spans="1:25">
      <c r="A20" s="9">
        <v>41120.409722222219</v>
      </c>
      <c r="B20" s="10">
        <f>A20-$A$1</f>
        <v>0.95138888888322981</v>
      </c>
      <c r="C20" s="13"/>
      <c r="D20" s="11"/>
      <c r="E20" s="10"/>
      <c r="F20" s="2"/>
      <c r="G20" s="2"/>
      <c r="I20" s="9">
        <v>41120.409722222219</v>
      </c>
      <c r="J20" s="10">
        <f>I20-$A$1</f>
        <v>0.95138888888322981</v>
      </c>
      <c r="K20" s="13">
        <v>0.56122400927334637</v>
      </c>
      <c r="L20" s="10"/>
      <c r="M20" s="10"/>
      <c r="Y20" s="2"/>
    </row>
    <row r="21" spans="1:25">
      <c r="A21" s="9">
        <v>41120.927083333336</v>
      </c>
      <c r="B21" s="10">
        <f t="shared" ref="B21:B25" si="2">A21-$A$1</f>
        <v>1.46875</v>
      </c>
      <c r="C21" s="13">
        <v>106.40022928744143</v>
      </c>
      <c r="D21" s="11">
        <f>(C21*($C8*1000))/1000</f>
        <v>262.1276048725407</v>
      </c>
      <c r="E21" s="10">
        <f>D21/$F$1</f>
        <v>82.741138727461248</v>
      </c>
      <c r="F21" s="2">
        <f>E21*(1/(B21-B20))</f>
        <v>159.92918089428312</v>
      </c>
      <c r="G21" s="2">
        <f>(D21*100)/(C8*1000)</f>
        <v>10.640022928744143</v>
      </c>
      <c r="I21" s="9">
        <v>41120.927083333336</v>
      </c>
      <c r="J21" s="10">
        <f t="shared" ref="J21:J25" si="3">I21-$A$1</f>
        <v>1.46875</v>
      </c>
      <c r="K21" s="13">
        <v>13.555310324385571</v>
      </c>
      <c r="L21" s="10">
        <f>(K21*($C8*1000))/1000</f>
        <v>33.394862515156298</v>
      </c>
      <c r="M21" s="10">
        <f>L21/$F$1</f>
        <v>10.541159728272843</v>
      </c>
      <c r="Y21" s="2"/>
    </row>
    <row r="22" spans="1:25">
      <c r="A22" s="9">
        <v>41121.4375</v>
      </c>
      <c r="B22" s="10">
        <f t="shared" si="2"/>
        <v>1.9791666666642413</v>
      </c>
      <c r="C22" s="13">
        <v>116.44186318615597</v>
      </c>
      <c r="D22" s="11">
        <f>(C22*($C9*1000))/1000</f>
        <v>634.78281715932928</v>
      </c>
      <c r="E22" s="10">
        <f>D22/$F$1</f>
        <v>200.3705529676198</v>
      </c>
      <c r="F22" s="2">
        <f t="shared" ref="F22:F25" si="4">E22*(1/(B22-B21))</f>
        <v>392.56271602005921</v>
      </c>
      <c r="G22" s="2">
        <f>(D22*100)/(C9*1000)</f>
        <v>11.644186318615597</v>
      </c>
      <c r="H22" s="2"/>
      <c r="I22" s="9">
        <v>41121.4375</v>
      </c>
      <c r="J22" s="10">
        <f t="shared" si="3"/>
        <v>1.9791666666642413</v>
      </c>
      <c r="K22" s="13">
        <v>15.429906448899159</v>
      </c>
      <c r="L22" s="10">
        <f>(K22*($C9*1000))/1000</f>
        <v>84.116135006173764</v>
      </c>
      <c r="M22" s="10">
        <f>L22/$F$1</f>
        <v>26.551437797434232</v>
      </c>
      <c r="Y22" s="2"/>
    </row>
    <row r="23" spans="1:25">
      <c r="A23" s="9">
        <v>41121.885416666664</v>
      </c>
      <c r="B23" s="10">
        <f t="shared" si="2"/>
        <v>2.4270833333284827</v>
      </c>
      <c r="C23" s="13">
        <v>127.00258545514544</v>
      </c>
      <c r="D23" s="11">
        <f>(C23*($C10*1000))/1000</f>
        <v>114.42932949508604</v>
      </c>
      <c r="E23" s="10">
        <f>D23/$F$1</f>
        <v>36.11986242672571</v>
      </c>
      <c r="F23" s="2">
        <f t="shared" si="4"/>
        <v>80.639692860103338</v>
      </c>
      <c r="G23" s="2">
        <f>(D23*100)/(C10*1000)</f>
        <v>12.700258545514544</v>
      </c>
      <c r="I23" s="9">
        <v>41121.885416666664</v>
      </c>
      <c r="J23" s="10">
        <f t="shared" si="3"/>
        <v>2.4270833333284827</v>
      </c>
      <c r="K23" s="13">
        <v>15.997832561534238</v>
      </c>
      <c r="L23" s="10">
        <f>(K23*($C10*1000))/1000</f>
        <v>14.414047137942349</v>
      </c>
      <c r="M23" s="10">
        <f>L23/$F$1</f>
        <v>4.5498247864606673</v>
      </c>
      <c r="Y23" s="2"/>
    </row>
    <row r="24" spans="1:25">
      <c r="A24" s="9">
        <v>41122.465277777781</v>
      </c>
      <c r="B24" s="10">
        <f t="shared" si="2"/>
        <v>3.0069444444452529</v>
      </c>
      <c r="C24" s="13">
        <v>24.994671996198523</v>
      </c>
      <c r="D24" s="11">
        <f>(C24*($C11*1000))/1000</f>
        <v>6.3011568102416478</v>
      </c>
      <c r="E24" s="10">
        <f>D24/$F$1</f>
        <v>1.9889736147141182</v>
      </c>
      <c r="F24" s="2">
        <f t="shared" si="4"/>
        <v>3.430086233725004</v>
      </c>
      <c r="G24" s="2">
        <f>(D24*100)/(C11*1000)</f>
        <v>2.4994671996198528</v>
      </c>
      <c r="H24" s="2"/>
      <c r="I24" s="9">
        <v>41122.465277777781</v>
      </c>
      <c r="J24" s="10">
        <f t="shared" si="3"/>
        <v>3.0069444444452529</v>
      </c>
      <c r="K24" s="13">
        <v>2.6954790409500142</v>
      </c>
      <c r="L24" s="10">
        <f>(K24*($C11*1000))/1000</f>
        <v>0.67953026622349855</v>
      </c>
      <c r="M24" s="10">
        <f>L24/$F$1</f>
        <v>0.21449518090414998</v>
      </c>
      <c r="Y24" s="2"/>
    </row>
    <row r="25" spans="1:25">
      <c r="A25" s="9">
        <v>41122.864583333336</v>
      </c>
      <c r="B25" s="10">
        <f t="shared" si="2"/>
        <v>3.40625</v>
      </c>
      <c r="C25" s="13">
        <v>135.42260107657211</v>
      </c>
      <c r="D25" s="11">
        <f>(C25*($C12*1000))/1000</f>
        <v>6.7738385058501374</v>
      </c>
      <c r="E25" s="10">
        <f>D25/$F$1</f>
        <v>2.1381766022029445</v>
      </c>
      <c r="F25" s="2">
        <f t="shared" si="4"/>
        <v>5.3547379255277807</v>
      </c>
      <c r="G25" s="2">
        <f>(D25*100)/(C12*1000)</f>
        <v>13.542260107657212</v>
      </c>
      <c r="H25" s="2"/>
      <c r="I25" s="9">
        <v>41122.864583333336</v>
      </c>
      <c r="J25" s="10">
        <f t="shared" si="3"/>
        <v>3.40625</v>
      </c>
      <c r="K25" s="13">
        <v>16.533825486899257</v>
      </c>
      <c r="L25" s="10">
        <f>(K25*($C12*1000))/1000</f>
        <v>0.82702195085470087</v>
      </c>
      <c r="M25" s="10">
        <f>L25/$F$1</f>
        <v>0.26105124639428134</v>
      </c>
      <c r="Y25" s="2"/>
    </row>
    <row r="26" spans="1:25">
      <c r="D26" s="2">
        <f>SUM(D19:D25)/6</f>
        <v>195.88030632597091</v>
      </c>
      <c r="E26" s="2">
        <f>SUM(E19:E25)/6</f>
        <v>61.830037349845611</v>
      </c>
      <c r="L26" s="2">
        <f>SUM(L19:L25)/6</f>
        <v>25.210986041819954</v>
      </c>
      <c r="M26" s="2">
        <f>SUM(M19:M25)/6</f>
        <v>7.9579016279366011</v>
      </c>
    </row>
    <row r="27" spans="1:25">
      <c r="D27" s="2">
        <f>STDEV(D19:D25)</f>
        <v>235.53601841484411</v>
      </c>
      <c r="E27" s="2">
        <f>STDEV(E19:E25)</f>
        <v>74.347447627474239</v>
      </c>
      <c r="G27" s="2">
        <f>(G19+G21+G22+G23+G25)/5</f>
        <v>13.830214783463177</v>
      </c>
      <c r="L27" s="2">
        <f>STDEV(L19:L25)</f>
        <v>31.318210474792014</v>
      </c>
      <c r="M27" s="2">
        <f>STDEV(M19:M25)</f>
        <v>9.8856600732708646</v>
      </c>
      <c r="Y27" s="2"/>
    </row>
    <row r="28" spans="1:25">
      <c r="E28" s="2">
        <f>SUM(E19:E25)</f>
        <v>370.98022409907367</v>
      </c>
      <c r="G28" s="2">
        <f>STDEV(G19,G21:G23,G25)</f>
        <v>3.9520875094571282</v>
      </c>
      <c r="M28" s="2">
        <f>SUM(M19:M25)</f>
        <v>47.747409767619608</v>
      </c>
      <c r="Y28" s="2"/>
    </row>
    <row r="29" spans="1:25">
      <c r="A29" s="5" t="s">
        <v>11</v>
      </c>
    </row>
    <row r="31" spans="1:25" ht="17.25">
      <c r="A31" s="8" t="s">
        <v>1</v>
      </c>
      <c r="B31" s="8" t="s">
        <v>2</v>
      </c>
      <c r="C31" t="s">
        <v>12</v>
      </c>
      <c r="D31" t="s">
        <v>13</v>
      </c>
      <c r="E31" t="s">
        <v>27</v>
      </c>
    </row>
    <row r="32" spans="1:25">
      <c r="A32" s="9">
        <v>41119.916666666664</v>
      </c>
      <c r="B32" s="10">
        <f>A32-$A$1</f>
        <v>0.45833333332848269</v>
      </c>
      <c r="C32" s="8">
        <v>35</v>
      </c>
      <c r="D32">
        <v>58</v>
      </c>
      <c r="E32" s="10">
        <f>(C32+D32)/$F$1</f>
        <v>29.355648770359558</v>
      </c>
    </row>
    <row r="33" spans="1:23">
      <c r="A33" s="9">
        <v>41120.409722222219</v>
      </c>
      <c r="B33" s="10">
        <f>A33-$A$1</f>
        <v>0.95138888888322981</v>
      </c>
      <c r="C33" s="8">
        <v>5</v>
      </c>
      <c r="D33">
        <v>33</v>
      </c>
      <c r="E33" s="10">
        <f t="shared" ref="E33:E38" si="5">(C33+D33)/$F$1</f>
        <v>11.994781217996378</v>
      </c>
    </row>
    <row r="34" spans="1:23">
      <c r="A34" s="9">
        <v>41120.927083333336</v>
      </c>
      <c r="B34" s="10">
        <f t="shared" ref="B34:B38" si="6">A34-$A$1</f>
        <v>1.46875</v>
      </c>
      <c r="C34" s="8">
        <v>24</v>
      </c>
      <c r="D34">
        <v>55</v>
      </c>
      <c r="E34" s="10">
        <f t="shared" si="5"/>
        <v>24.936518847939841</v>
      </c>
    </row>
    <row r="35" spans="1:23">
      <c r="A35" s="9">
        <v>41121.4375</v>
      </c>
      <c r="B35" s="10">
        <f t="shared" si="6"/>
        <v>1.9791666666642413</v>
      </c>
      <c r="C35" s="8">
        <v>36</v>
      </c>
      <c r="D35">
        <v>66</v>
      </c>
      <c r="E35" s="10">
        <f t="shared" si="5"/>
        <v>32.196518006200805</v>
      </c>
    </row>
    <row r="36" spans="1:23">
      <c r="A36" s="9">
        <v>41121.885416666664</v>
      </c>
      <c r="B36" s="10">
        <f t="shared" si="6"/>
        <v>2.4270833333284827</v>
      </c>
      <c r="C36" s="8">
        <v>6</v>
      </c>
      <c r="D36">
        <v>38</v>
      </c>
      <c r="E36" s="10">
        <f t="shared" si="5"/>
        <v>13.888694041890544</v>
      </c>
    </row>
    <row r="37" spans="1:23">
      <c r="A37" s="9">
        <v>41122.465277777781</v>
      </c>
      <c r="B37" s="10">
        <f t="shared" si="6"/>
        <v>3.0069444444452529</v>
      </c>
      <c r="C37" s="8">
        <v>2</v>
      </c>
      <c r="D37">
        <v>12</v>
      </c>
      <c r="E37" s="10">
        <f t="shared" si="5"/>
        <v>4.4191299224197182</v>
      </c>
    </row>
    <row r="38" spans="1:23">
      <c r="A38" s="9">
        <v>41122.864583333336</v>
      </c>
      <c r="B38" s="10">
        <f t="shared" si="6"/>
        <v>3.40625</v>
      </c>
      <c r="C38" s="8">
        <v>3</v>
      </c>
      <c r="D38">
        <v>3</v>
      </c>
      <c r="E38" s="10">
        <f t="shared" si="5"/>
        <v>1.8939128238941652</v>
      </c>
    </row>
    <row r="39" spans="1:23">
      <c r="E39" s="2">
        <f>SUM(E32:E38)/7</f>
        <v>16.955029090100144</v>
      </c>
      <c r="F39" s="2"/>
    </row>
    <row r="40" spans="1:23">
      <c r="E40" s="2">
        <f>STDEV(E32:E38)</f>
        <v>12.026186651744387</v>
      </c>
      <c r="F40" s="2"/>
    </row>
    <row r="42" spans="1:23" ht="17.25">
      <c r="A42" s="6" t="s">
        <v>8</v>
      </c>
    </row>
    <row r="44" spans="1:23">
      <c r="A44" t="s">
        <v>1</v>
      </c>
      <c r="B44" t="s">
        <v>2</v>
      </c>
      <c r="C44" t="s">
        <v>7</v>
      </c>
      <c r="D44" t="s">
        <v>6</v>
      </c>
      <c r="U44" s="12"/>
      <c r="V44" s="5"/>
      <c r="W44" s="5"/>
    </row>
    <row r="45" spans="1:23">
      <c r="A45" s="1">
        <v>41119.916666666664</v>
      </c>
      <c r="B45" s="2">
        <f>A45-$A$1</f>
        <v>0.45833333332848269</v>
      </c>
      <c r="C45" s="3">
        <f>B45*24</f>
        <v>10.999999999883585</v>
      </c>
      <c r="D45">
        <v>8.09E-2</v>
      </c>
    </row>
    <row r="46" spans="1:23">
      <c r="A46" s="1">
        <v>41120.409722222219</v>
      </c>
      <c r="B46" s="2">
        <f t="shared" ref="B46:B51" si="7">A46-$A$1</f>
        <v>0.95138888888322981</v>
      </c>
      <c r="C46" s="3">
        <f t="shared" ref="C46:C50" si="8">(B46-B45)*24</f>
        <v>11.833333333313931</v>
      </c>
      <c r="D46">
        <v>0.12540000000000001</v>
      </c>
    </row>
    <row r="47" spans="1:23">
      <c r="A47" s="1">
        <v>41120.927083333336</v>
      </c>
      <c r="B47" s="2">
        <f t="shared" si="7"/>
        <v>1.46875</v>
      </c>
      <c r="C47" s="3">
        <f t="shared" si="8"/>
        <v>12.416666666802485</v>
      </c>
      <c r="D47">
        <v>0.1002</v>
      </c>
    </row>
    <row r="48" spans="1:23">
      <c r="A48" s="1">
        <v>41121.4375</v>
      </c>
      <c r="B48" s="2">
        <f t="shared" si="7"/>
        <v>1.9791666666642413</v>
      </c>
      <c r="C48" s="3">
        <f t="shared" si="8"/>
        <v>12.249999999941792</v>
      </c>
      <c r="D48">
        <v>9.7799999999999998E-2</v>
      </c>
    </row>
    <row r="49" spans="1:11">
      <c r="A49" s="1">
        <v>41121.885416666664</v>
      </c>
      <c r="B49" s="2">
        <f t="shared" si="7"/>
        <v>2.4270833333284827</v>
      </c>
      <c r="C49" s="3">
        <f t="shared" si="8"/>
        <v>10.749999999941792</v>
      </c>
      <c r="D49">
        <v>7.8100000000000003E-2</v>
      </c>
    </row>
    <row r="50" spans="1:11">
      <c r="A50" s="1">
        <v>41122.465277777781</v>
      </c>
      <c r="B50" s="2">
        <f t="shared" si="7"/>
        <v>3.0069444444452529</v>
      </c>
      <c r="C50" s="3">
        <f t="shared" si="8"/>
        <v>13.916666666802485</v>
      </c>
      <c r="D50">
        <v>0.14419999999999999</v>
      </c>
    </row>
    <row r="51" spans="1:11">
      <c r="A51" s="1">
        <v>41122.864583333336</v>
      </c>
      <c r="B51" s="2">
        <f t="shared" si="7"/>
        <v>3.40625</v>
      </c>
      <c r="C51" s="3">
        <f>(B51-B50)*24</f>
        <v>9.5833333333139308</v>
      </c>
      <c r="D51">
        <v>9.7000000000000003E-2</v>
      </c>
    </row>
    <row r="52" spans="1:11">
      <c r="A52" s="1"/>
      <c r="B52" s="2"/>
      <c r="C52" s="2"/>
      <c r="D52" s="14">
        <f>AVERAGE(D45:D51)</f>
        <v>0.10337142857142857</v>
      </c>
      <c r="E52" s="14"/>
      <c r="F52" s="14"/>
      <c r="G52" s="14"/>
      <c r="H52" s="14"/>
    </row>
    <row r="53" spans="1:11">
      <c r="A53" s="1"/>
      <c r="B53" s="2"/>
      <c r="C53" s="2"/>
      <c r="D53" s="2"/>
      <c r="E53" s="2"/>
      <c r="F53" s="2"/>
      <c r="G53" s="2"/>
      <c r="H53" s="2"/>
    </row>
    <row r="54" spans="1:11">
      <c r="A54" s="15" t="s">
        <v>37</v>
      </c>
      <c r="B54" s="2"/>
      <c r="C54" s="2"/>
      <c r="D54" s="2"/>
      <c r="E54" s="2"/>
      <c r="F54" s="2"/>
      <c r="G54" s="15" t="s">
        <v>38</v>
      </c>
      <c r="H54" s="2"/>
    </row>
    <row r="55" spans="1:11">
      <c r="A55" s="8" t="s">
        <v>1</v>
      </c>
      <c r="B55" s="8" t="s">
        <v>2</v>
      </c>
      <c r="C55" t="s">
        <v>36</v>
      </c>
      <c r="D55" s="2"/>
      <c r="E55" s="2"/>
      <c r="G55" s="8" t="s">
        <v>1</v>
      </c>
      <c r="H55" s="8" t="s">
        <v>2</v>
      </c>
      <c r="I55" t="s">
        <v>36</v>
      </c>
      <c r="J55" s="2"/>
      <c r="K55" s="2"/>
    </row>
    <row r="56" spans="1:11">
      <c r="A56" s="9">
        <v>41119.916666666664</v>
      </c>
      <c r="B56" s="10">
        <f>A56-$A$1</f>
        <v>0.45833333332848269</v>
      </c>
      <c r="C56" s="2">
        <f>($D45)/2*(B56)*60*60*24/100</f>
        <v>16.018199999830475</v>
      </c>
      <c r="D56" s="2"/>
      <c r="E56" s="2"/>
      <c r="G56" s="9">
        <v>41119.916666666664</v>
      </c>
      <c r="H56" s="10">
        <f>G56-$A$1</f>
        <v>0.45833333332848269</v>
      </c>
      <c r="I56" s="2">
        <f>($D45)/2*(H56)*60*60*24/100</f>
        <v>16.018199999830475</v>
      </c>
      <c r="J56" s="2"/>
      <c r="K56" s="2"/>
    </row>
    <row r="57" spans="1:11">
      <c r="A57" s="9">
        <v>41120.409722222219</v>
      </c>
      <c r="B57" s="10">
        <f>A57-$A$1</f>
        <v>0.95138888888322981</v>
      </c>
      <c r="C57" s="2">
        <f>($D45+$D46)/2*(B57-B56)*60*60*24/100</f>
        <v>43.941899999927948</v>
      </c>
      <c r="G57" s="9">
        <v>41120.409722222219</v>
      </c>
      <c r="H57" s="10">
        <f>G57-$A$1</f>
        <v>0.95138888888322981</v>
      </c>
      <c r="I57" s="2">
        <f>($D45+$D46)/2*(H57-H56)*60*60*24/100</f>
        <v>43.941899999927948</v>
      </c>
    </row>
    <row r="58" spans="1:11">
      <c r="A58" s="9">
        <v>41120.927083333336</v>
      </c>
      <c r="B58" s="10">
        <f t="shared" ref="B58:B61" si="9">A58-$A$1</f>
        <v>1.46875</v>
      </c>
      <c r="C58" s="2">
        <f>($D46+$D47)/2*(B58-B57)*60*60*24/100</f>
        <v>50.421600000551535</v>
      </c>
      <c r="G58" s="9">
        <v>41120.927083333336</v>
      </c>
      <c r="H58" s="10">
        <f t="shared" ref="H58:H61" si="10">G58-$A$1</f>
        <v>1.46875</v>
      </c>
      <c r="I58" s="2">
        <f>($D46+$D47)/2*(H58-H57)*60*60*24/100</f>
        <v>50.421600000551535</v>
      </c>
    </row>
    <row r="59" spans="1:11">
      <c r="A59" s="9">
        <v>41121.4375</v>
      </c>
      <c r="B59" s="10">
        <f t="shared" si="9"/>
        <v>1.9791666666642413</v>
      </c>
      <c r="C59" s="2">
        <f>($D47+$D48)/2*(B59-B58)*60*60*24/100</f>
        <v>43.658999999792542</v>
      </c>
      <c r="G59" s="9">
        <v>41121.4375</v>
      </c>
      <c r="H59" s="10">
        <f t="shared" si="10"/>
        <v>1.9791666666642413</v>
      </c>
      <c r="I59" s="2">
        <f>($D47+$D48)/2*(H59-H58)*60*60*24/100</f>
        <v>43.658999999792542</v>
      </c>
    </row>
    <row r="60" spans="1:11">
      <c r="A60" s="9">
        <v>41121.885416666664</v>
      </c>
      <c r="B60" s="10">
        <f t="shared" si="9"/>
        <v>2.4270833333284827</v>
      </c>
      <c r="C60" s="2">
        <f>($D48+$D49)/2*(B60-B59)*60*60*24/100</f>
        <v>34.036649999815701</v>
      </c>
      <c r="G60" s="9">
        <v>41121.885416666664</v>
      </c>
      <c r="H60" s="10">
        <f t="shared" si="10"/>
        <v>2.4270833333284827</v>
      </c>
      <c r="I60" s="2">
        <f>($D48+$D49)/2*(H60-H59)*60*60*24/100</f>
        <v>34.036649999815701</v>
      </c>
    </row>
    <row r="61" spans="1:11">
      <c r="A61" s="9">
        <v>41122.465277777781</v>
      </c>
      <c r="B61" s="10">
        <f t="shared" si="9"/>
        <v>3.0069444444452529</v>
      </c>
      <c r="C61" s="2">
        <f>($D49+$D50)/2*(B61-B60)*60*60*24/100</f>
        <v>55.686150000543456</v>
      </c>
      <c r="G61" s="9">
        <v>41122.465277777781</v>
      </c>
      <c r="H61" s="10">
        <f t="shared" si="10"/>
        <v>3.0069444444452529</v>
      </c>
      <c r="I61" s="2">
        <f>($D49+$D50)/2*(H61-H60)*60*60*24/100</f>
        <v>55.686150000543456</v>
      </c>
    </row>
    <row r="62" spans="1:11">
      <c r="A62" s="9">
        <v>41122.864583333336</v>
      </c>
      <c r="B62" s="10">
        <f>A62-$A$1</f>
        <v>3.40625</v>
      </c>
      <c r="C62" s="2">
        <f>($D50+$D51)/2*(B62-B61)*60*60*24/100</f>
        <v>41.606999999915757</v>
      </c>
      <c r="G62" s="9">
        <v>41122.864583333336</v>
      </c>
      <c r="H62" s="10">
        <f>G62-$A$1</f>
        <v>3.40625</v>
      </c>
      <c r="I62" s="2">
        <f>($D50+$D51)/2*(H62-H61)*60*60*24/100</f>
        <v>41.606999999915757</v>
      </c>
    </row>
    <row r="63" spans="1:11">
      <c r="C63" s="2">
        <f>SUM(C56:C62)</f>
        <v>285.37050000037743</v>
      </c>
      <c r="D63" t="s">
        <v>14</v>
      </c>
      <c r="I63" s="2">
        <f>SUM(I56:I62)</f>
        <v>285.37050000037743</v>
      </c>
      <c r="J63" t="s">
        <v>14</v>
      </c>
    </row>
    <row r="64" spans="1:11">
      <c r="A64" s="5"/>
      <c r="C64" s="2">
        <f>(C63*$F$2+$F$1)*0.97</f>
        <v>499.02315123676715</v>
      </c>
      <c r="D64" t="s">
        <v>19</v>
      </c>
      <c r="E64" t="s">
        <v>20</v>
      </c>
      <c r="G64" s="5"/>
      <c r="I64" s="2">
        <f>(I63*$F$2+$F$1)*0.97</f>
        <v>499.02315123676715</v>
      </c>
      <c r="J64" t="s">
        <v>19</v>
      </c>
      <c r="K64" t="s">
        <v>20</v>
      </c>
    </row>
    <row r="65" spans="1:11">
      <c r="C65" s="12">
        <f>(SUM(D6:D12)/$C$64)*1000</f>
        <v>6.3385068961286999</v>
      </c>
      <c r="D65" s="5" t="s">
        <v>26</v>
      </c>
      <c r="E65" s="5" t="s">
        <v>21</v>
      </c>
      <c r="I65" s="12">
        <f>SUM(M19:M25)/$C$64</f>
        <v>9.5681752738893094E-2</v>
      </c>
      <c r="J65" s="5" t="s">
        <v>34</v>
      </c>
      <c r="K65" s="5" t="s">
        <v>33</v>
      </c>
    </row>
    <row r="66" spans="1:11">
      <c r="C66" s="12">
        <f>SUM(E19:E25)/$C$64</f>
        <v>0.74341285204833696</v>
      </c>
      <c r="D66" s="5" t="s">
        <v>25</v>
      </c>
      <c r="E66" s="5" t="s">
        <v>22</v>
      </c>
    </row>
    <row r="67" spans="1:11">
      <c r="C67" s="12">
        <f>SUM(E32:E38)/$C$64</f>
        <v>0.23783506503967686</v>
      </c>
      <c r="D67" s="5" t="s">
        <v>24</v>
      </c>
      <c r="E67" s="5" t="s">
        <v>23</v>
      </c>
    </row>
    <row r="68" spans="1:11">
      <c r="A68" s="1"/>
      <c r="B68" s="2"/>
      <c r="C68" s="2"/>
      <c r="D68" s="2"/>
      <c r="E68" s="2"/>
      <c r="F68" s="2"/>
      <c r="G68" s="2"/>
      <c r="H68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assmy</dc:creator>
  <cp:lastModifiedBy>philipp assmy</cp:lastModifiedBy>
  <dcterms:created xsi:type="dcterms:W3CDTF">2012-08-02T15:52:58Z</dcterms:created>
  <dcterms:modified xsi:type="dcterms:W3CDTF">2013-08-07T10:16:31Z</dcterms:modified>
</cp:coreProperties>
</file>