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9755" windowHeight="8445"/>
  </bookViews>
  <sheets>
    <sheet name="224 (ICE 1)" sheetId="5" r:id="rId1"/>
    <sheet name="237 (ICE 2)" sheetId="6" r:id="rId2"/>
    <sheet name="Sheet1" sheetId="1" r:id="rId3"/>
    <sheet name="Sheet2" sheetId="2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E16" i="5"/>
  <c r="E14"/>
  <c r="E14" i="6"/>
  <c r="B16" i="5"/>
  <c r="D16" i="6"/>
  <c r="B16"/>
  <c r="E16"/>
  <c r="S6"/>
  <c r="S5"/>
  <c r="L5"/>
  <c r="M37"/>
  <c r="L24"/>
  <c r="L25"/>
  <c r="L26"/>
  <c r="L27"/>
  <c r="L28"/>
  <c r="L29"/>
  <c r="L30"/>
  <c r="L31"/>
  <c r="L32"/>
  <c r="L33"/>
  <c r="L34"/>
  <c r="L35"/>
  <c r="L36"/>
  <c r="L23"/>
  <c r="L22"/>
  <c r="L7"/>
  <c r="L8"/>
  <c r="L9"/>
  <c r="L10"/>
  <c r="L11"/>
  <c r="L12"/>
  <c r="L13"/>
  <c r="L14"/>
  <c r="L15"/>
  <c r="L16"/>
  <c r="L17"/>
  <c r="L18"/>
  <c r="L19"/>
  <c r="L6"/>
  <c r="J20"/>
  <c r="M20"/>
  <c r="S12" i="5"/>
  <c r="S11"/>
  <c r="S7"/>
  <c r="S8"/>
  <c r="S9"/>
  <c r="S10"/>
  <c r="S6"/>
  <c r="S5"/>
  <c r="L22"/>
  <c r="L23"/>
  <c r="L24"/>
  <c r="L25"/>
  <c r="L26"/>
  <c r="L27"/>
  <c r="L28"/>
  <c r="L29"/>
  <c r="L30"/>
  <c r="L31"/>
  <c r="L32"/>
  <c r="L33"/>
  <c r="L34"/>
  <c r="L35"/>
  <c r="L36"/>
  <c r="L37"/>
  <c r="L21"/>
  <c r="L20"/>
  <c r="L7"/>
  <c r="L8"/>
  <c r="L9"/>
  <c r="L10"/>
  <c r="L11"/>
  <c r="L12"/>
  <c r="L13"/>
  <c r="L14"/>
  <c r="L15"/>
  <c r="L16"/>
  <c r="L17"/>
  <c r="L6"/>
  <c r="L5"/>
  <c r="I5" i="6"/>
  <c r="J5"/>
  <c r="M5"/>
  <c r="I6"/>
  <c r="J6"/>
  <c r="M6"/>
  <c r="I7"/>
  <c r="J7"/>
  <c r="M7"/>
  <c r="I8"/>
  <c r="J8"/>
  <c r="M8"/>
  <c r="I9"/>
  <c r="J9"/>
  <c r="M9"/>
  <c r="I10"/>
  <c r="J10"/>
  <c r="M10"/>
  <c r="I11"/>
  <c r="J11"/>
  <c r="M11"/>
  <c r="I12"/>
  <c r="J12"/>
  <c r="M12"/>
  <c r="I13"/>
  <c r="J13"/>
  <c r="M13"/>
  <c r="I14"/>
  <c r="J14"/>
  <c r="M14"/>
  <c r="I15"/>
  <c r="J15"/>
  <c r="M15"/>
  <c r="I16"/>
  <c r="J16"/>
  <c r="M16"/>
  <c r="I17"/>
  <c r="J17"/>
  <c r="M17"/>
  <c r="I18"/>
  <c r="J18"/>
  <c r="M18"/>
  <c r="I19"/>
  <c r="J19"/>
  <c r="M19"/>
  <c r="P5"/>
  <c r="Q5"/>
  <c r="T5"/>
  <c r="U5"/>
  <c r="D14"/>
  <c r="P6"/>
  <c r="Q6"/>
  <c r="T6"/>
  <c r="Q7"/>
  <c r="T7"/>
  <c r="D15"/>
  <c r="Q8"/>
  <c r="T8"/>
  <c r="I22"/>
  <c r="J22"/>
  <c r="M22"/>
  <c r="I23"/>
  <c r="J23"/>
  <c r="M23"/>
  <c r="I24"/>
  <c r="J24"/>
  <c r="M24"/>
  <c r="I25"/>
  <c r="J25"/>
  <c r="M25"/>
  <c r="I26"/>
  <c r="J26"/>
  <c r="M26"/>
  <c r="I27"/>
  <c r="J27"/>
  <c r="M27"/>
  <c r="I28"/>
  <c r="J28"/>
  <c r="M28"/>
  <c r="I29"/>
  <c r="J29"/>
  <c r="M29"/>
  <c r="I30"/>
  <c r="J30"/>
  <c r="M30"/>
  <c r="I31"/>
  <c r="J31"/>
  <c r="M31"/>
  <c r="I32"/>
  <c r="J32"/>
  <c r="M32"/>
  <c r="I33"/>
  <c r="J33"/>
  <c r="M33"/>
  <c r="I34"/>
  <c r="J34"/>
  <c r="M34"/>
  <c r="I35"/>
  <c r="J35"/>
  <c r="M35"/>
  <c r="I36"/>
  <c r="J36"/>
  <c r="M36"/>
  <c r="J37"/>
  <c r="B15"/>
  <c r="J21"/>
  <c r="C16"/>
  <c r="J38"/>
  <c r="M38"/>
  <c r="I5" i="5"/>
  <c r="J5"/>
  <c r="M5"/>
  <c r="I6"/>
  <c r="J6"/>
  <c r="M6"/>
  <c r="I7"/>
  <c r="J7"/>
  <c r="M7"/>
  <c r="I8"/>
  <c r="J8"/>
  <c r="M8"/>
  <c r="I9"/>
  <c r="J9"/>
  <c r="M9"/>
  <c r="I10"/>
  <c r="J10"/>
  <c r="M10"/>
  <c r="I11"/>
  <c r="J11"/>
  <c r="M11"/>
  <c r="I12"/>
  <c r="J12"/>
  <c r="M12"/>
  <c r="I13"/>
  <c r="J13"/>
  <c r="M13"/>
  <c r="I14"/>
  <c r="J14"/>
  <c r="M14"/>
  <c r="I15"/>
  <c r="J15"/>
  <c r="M15"/>
  <c r="I16"/>
  <c r="J16"/>
  <c r="M16"/>
  <c r="I17"/>
  <c r="J17"/>
  <c r="M17"/>
  <c r="P5"/>
  <c r="Q5"/>
  <c r="T5"/>
  <c r="P6"/>
  <c r="Q6"/>
  <c r="T6"/>
  <c r="P7"/>
  <c r="Q7"/>
  <c r="T7"/>
  <c r="P8"/>
  <c r="Q8"/>
  <c r="T8"/>
  <c r="P9"/>
  <c r="Q9"/>
  <c r="T9"/>
  <c r="P10"/>
  <c r="Q10"/>
  <c r="T10"/>
  <c r="Q11"/>
  <c r="T11"/>
  <c r="D15"/>
  <c r="Q12"/>
  <c r="T12"/>
  <c r="I20"/>
  <c r="J20"/>
  <c r="M20"/>
  <c r="N20"/>
  <c r="B14"/>
  <c r="I21"/>
  <c r="J21"/>
  <c r="M21"/>
  <c r="I22"/>
  <c r="J22"/>
  <c r="M22"/>
  <c r="I23"/>
  <c r="J23"/>
  <c r="M23"/>
  <c r="I24"/>
  <c r="J24"/>
  <c r="M24"/>
  <c r="I25"/>
  <c r="J25"/>
  <c r="M25"/>
  <c r="I26"/>
  <c r="J26"/>
  <c r="M26"/>
  <c r="I27"/>
  <c r="J27"/>
  <c r="M27"/>
  <c r="I28"/>
  <c r="J28"/>
  <c r="M28"/>
  <c r="I29"/>
  <c r="J29"/>
  <c r="M29"/>
  <c r="I30"/>
  <c r="J30"/>
  <c r="M30"/>
  <c r="I31"/>
  <c r="J31"/>
  <c r="M31"/>
  <c r="I32"/>
  <c r="J32"/>
  <c r="M32"/>
  <c r="I33"/>
  <c r="J33"/>
  <c r="M33"/>
  <c r="I34"/>
  <c r="J34"/>
  <c r="M34"/>
  <c r="I35"/>
  <c r="J35"/>
  <c r="M35"/>
  <c r="I36"/>
  <c r="J36"/>
  <c r="M36"/>
  <c r="I37"/>
  <c r="J37"/>
  <c r="M37"/>
  <c r="J38"/>
  <c r="M38"/>
  <c r="B15"/>
  <c r="J19"/>
  <c r="C16"/>
  <c r="M19"/>
  <c r="C15"/>
  <c r="J39"/>
  <c r="M39"/>
  <c r="J18"/>
  <c r="M18"/>
  <c r="K18"/>
  <c r="K19"/>
  <c r="U5"/>
  <c r="D14"/>
  <c r="N5"/>
  <c r="C14"/>
  <c r="N22" i="6"/>
  <c r="B14"/>
  <c r="N5"/>
  <c r="C14"/>
  <c r="D16" i="5"/>
  <c r="M21" i="6"/>
  <c r="C15"/>
</calcChain>
</file>

<file path=xl/comments1.xml><?xml version="1.0" encoding="utf-8"?>
<comments xmlns="http://schemas.openxmlformats.org/spreadsheetml/2006/main">
  <authors>
    <author>mfernand</author>
  </authors>
  <commentList>
    <comment ref="D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daily average Global radiation crown nest sensor</t>
        </r>
      </text>
    </comment>
    <comment ref="N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Perovich</t>
        </r>
      </text>
    </comment>
    <comment ref="P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4-40 per meter from Christians Diplomarbeit</t>
        </r>
      </text>
    </comment>
    <comment ref="Q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Ice Obs http://doi.pangaea.de/10.1594/PANGAEA.803221</t>
        </r>
      </text>
    </comment>
    <comment ref="M5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</t>
        </r>
      </text>
    </comment>
    <comment ref="E7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Do not use this PI curve</t>
        </r>
      </text>
    </comment>
    <comment ref="L18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Ice top average Chl a corrected used to divide PP values before fitting PI curve</t>
        </r>
      </text>
    </comment>
  </commentList>
</comments>
</file>

<file path=xl/comments2.xml><?xml version="1.0" encoding="utf-8"?>
<comments xmlns="http://schemas.openxmlformats.org/spreadsheetml/2006/main">
  <authors>
    <author>mfernand</author>
  </authors>
  <commentList>
    <comment ref="D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daily average Global radiation crown nest sensor (15th august)</t>
        </r>
      </text>
    </comment>
    <comment ref="N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Perovich</t>
        </r>
      </text>
    </comment>
    <comment ref="P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4-40 per meter from Christians Diplomarbeit</t>
        </r>
      </text>
    </comment>
    <comment ref="Q2" authorId="0">
      <text>
        <r>
          <rPr>
            <b/>
            <sz val="8"/>
            <color indexed="81"/>
            <rFont val="Tahoma"/>
          </rPr>
          <t>mfernand:</t>
        </r>
        <r>
          <rPr>
            <sz val="8"/>
            <color indexed="81"/>
            <rFont val="Tahoma"/>
          </rPr>
          <t xml:space="preserve">
Ice Obs http://doi.pangaea.de/10.1594/PANGAEA.803221</t>
        </r>
      </text>
    </comment>
  </commentList>
</comments>
</file>

<file path=xl/sharedStrings.xml><?xml version="1.0" encoding="utf-8"?>
<sst xmlns="http://schemas.openxmlformats.org/spreadsheetml/2006/main" count="130" uniqueCount="70">
  <si>
    <t>NPP St.224</t>
  </si>
  <si>
    <t>84° 2,08' N</t>
  </si>
  <si>
    <t>31° 14,7' E</t>
  </si>
  <si>
    <t>PAR µE m-2 s-1</t>
  </si>
  <si>
    <t>STDEV</t>
  </si>
  <si>
    <t>cm</t>
  </si>
  <si>
    <t>m</t>
  </si>
  <si>
    <t>Ice</t>
  </si>
  <si>
    <t>Water</t>
  </si>
  <si>
    <t>Snow</t>
  </si>
  <si>
    <t>Daylength</t>
  </si>
  <si>
    <t>24 h</t>
  </si>
  <si>
    <t>Incoming Irradiance</t>
  </si>
  <si>
    <t>Ice thickness</t>
  </si>
  <si>
    <t>Light extinction coefficient per meter</t>
  </si>
  <si>
    <t>Melt Pond coverage</t>
  </si>
  <si>
    <t>Snow depth</t>
  </si>
  <si>
    <t>PI curve</t>
  </si>
  <si>
    <t>Correction factor for Chl a (I.Peeken)</t>
  </si>
  <si>
    <t>Reflection</t>
  </si>
  <si>
    <t>Melt Pond depth</t>
  </si>
  <si>
    <t xml:space="preserve"> f(x) = a*(1-exp((-b*x)/a))*(exp((-c*x)/a))</t>
  </si>
  <si>
    <t>Pmax a</t>
  </si>
  <si>
    <t>Initial slope b</t>
  </si>
  <si>
    <t>Photoinhibition parameter c</t>
  </si>
  <si>
    <t>R2</t>
  </si>
  <si>
    <t>I=I0*0,35*exp(-1,5*z)*(-0,1*z)</t>
  </si>
  <si>
    <t>Depth (m)</t>
  </si>
  <si>
    <t>Light</t>
  </si>
  <si>
    <t>NPP for each depth (mg C/mg Chla h)</t>
  </si>
  <si>
    <t>Chl a (mg/m3)</t>
  </si>
  <si>
    <t>Chl a (mg/m3)corrected</t>
  </si>
  <si>
    <t>NPP (mgC/m3 d) Multiplied by 0,1 to convert it /m and not per 10 cm and by 24 to convert it in daily</t>
  </si>
  <si>
    <t>Integrated NPP (mg C/m2 h)</t>
  </si>
  <si>
    <t>NPP for each depth (µg C/L d = mg C/m3 d)</t>
  </si>
  <si>
    <t>Multiplied by 0,1 to convert it /m and not per 10 cm</t>
  </si>
  <si>
    <t>Integrated NPP (mg C/m2 d)</t>
  </si>
  <si>
    <t>Water column (WUI)</t>
  </si>
  <si>
    <t>Ice (in 10 cm intervals)</t>
  </si>
  <si>
    <t>Ice top</t>
  </si>
  <si>
    <t>Freeboard 13 cm</t>
  </si>
  <si>
    <t>Ice bottom</t>
  </si>
  <si>
    <t>Melt Pond (MP2)</t>
  </si>
  <si>
    <t>SUMMARY</t>
  </si>
  <si>
    <t>Water column</t>
  </si>
  <si>
    <t xml:space="preserve">Ice </t>
  </si>
  <si>
    <t xml:space="preserve">Melt Pond </t>
  </si>
  <si>
    <t>Aggregate</t>
  </si>
  <si>
    <r>
      <t>NPP (m</t>
    </r>
    <r>
      <rPr>
        <sz val="10"/>
        <rFont val="Arial"/>
      </rPr>
      <t>g C/m2 d)</t>
    </r>
  </si>
  <si>
    <t>Water (use CTD St.227 because Haukes CTD profile for 224 is wrong)</t>
  </si>
  <si>
    <t>1% incoming irradiance</t>
  </si>
  <si>
    <r>
      <t>NPP at 50 µE (</t>
    </r>
    <r>
      <rPr>
        <sz val="10"/>
        <rFont val="Arial"/>
        <family val="2"/>
      </rPr>
      <t xml:space="preserve">mg C/m3 d) </t>
    </r>
  </si>
  <si>
    <t>NPP St.237</t>
  </si>
  <si>
    <t>83° 59,07' N</t>
  </si>
  <si>
    <t>78° 5,1' E</t>
  </si>
  <si>
    <t>14.08.12 until 16.08.12</t>
  </si>
  <si>
    <t>Snow cover</t>
  </si>
  <si>
    <t>Ice cover 50%</t>
  </si>
  <si>
    <t>Light profile</t>
  </si>
  <si>
    <t>Integrated NPP</t>
  </si>
  <si>
    <t>Freeboard 7 cm</t>
  </si>
  <si>
    <t>Melt Pond (MP1)</t>
  </si>
  <si>
    <t xml:space="preserve">NPP at 50 µE (mg C/mg Chl a d) </t>
  </si>
  <si>
    <t>Chl a content of aggregate slurry in mg m-3</t>
  </si>
  <si>
    <t>Chl a content per aggregate in mg L-1 derived from the dilution factor</t>
  </si>
  <si>
    <t>Chl a content per aggregate in mg L-1 derived from the C:Chl a ratio</t>
  </si>
  <si>
    <t xml:space="preserve">Up-scaling per m-2 of dilution factor derived Chl a </t>
  </si>
  <si>
    <t xml:space="preserve">Up-scaling per m-2 of C:Chl a ratio derived Chl a </t>
  </si>
  <si>
    <t>NPP for each depth (mg C/(mg Chl a) h)</t>
  </si>
  <si>
    <t>Multiplied by 0,1 to convert it /m and not per 10 cm and per hours per day</t>
  </si>
</sst>
</file>

<file path=xl/styles.xml><?xml version="1.0" encoding="utf-8"?>
<styleSheet xmlns="http://schemas.openxmlformats.org/spreadsheetml/2006/main">
  <numFmts count="3">
    <numFmt numFmtId="176" formatCode="0.000"/>
    <numFmt numFmtId="177" formatCode="0.0000"/>
    <numFmt numFmtId="182" formatCode="0.00000"/>
  </numFmts>
  <fonts count="28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</font>
    <font>
      <b/>
      <sz val="8"/>
      <color indexed="81"/>
      <name val="Tahoma"/>
    </font>
    <font>
      <sz val="8"/>
      <color indexed="81"/>
      <name val="Tahoma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" fillId="23" borderId="7" applyNumberFormat="0" applyFont="0" applyAlignment="0" applyProtection="0"/>
    <xf numFmtId="0" fontId="13" fillId="20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8" fillId="0" borderId="6" applyNumberFormat="0" applyFill="0" applyAlignment="0" applyProtection="0"/>
    <xf numFmtId="0" fontId="19" fillId="0" borderId="9" applyNumberFormat="0" applyFill="0" applyAlignment="0" applyProtection="0"/>
  </cellStyleXfs>
  <cellXfs count="142">
    <xf numFmtId="0" fontId="0" fillId="0" borderId="0" xfId="0"/>
    <xf numFmtId="0" fontId="21" fillId="0" borderId="0" xfId="0" applyFont="1"/>
    <xf numFmtId="0" fontId="12" fillId="0" borderId="0" xfId="0" applyFont="1" applyFill="1" applyBorder="1"/>
    <xf numFmtId="0" fontId="0" fillId="24" borderId="10" xfId="0" applyFill="1" applyBorder="1"/>
    <xf numFmtId="0" fontId="12" fillId="0" borderId="10" xfId="0" applyFont="1" applyFill="1" applyBorder="1"/>
    <xf numFmtId="0" fontId="0" fillId="0" borderId="0" xfId="0" applyFill="1" applyBorder="1"/>
    <xf numFmtId="0" fontId="0" fillId="0" borderId="11" xfId="0" applyFill="1" applyBorder="1"/>
    <xf numFmtId="0" fontId="0" fillId="24" borderId="12" xfId="0" applyFill="1" applyBorder="1"/>
    <xf numFmtId="0" fontId="0" fillId="0" borderId="13" xfId="0" applyBorder="1"/>
    <xf numFmtId="0" fontId="0" fillId="0" borderId="14" xfId="0" applyBorder="1"/>
    <xf numFmtId="0" fontId="0" fillId="25" borderId="11" xfId="0" applyFill="1" applyBorder="1"/>
    <xf numFmtId="0" fontId="0" fillId="26" borderId="12" xfId="0" applyFill="1" applyBorder="1"/>
    <xf numFmtId="0" fontId="0" fillId="27" borderId="10" xfId="0" applyFill="1" applyBorder="1"/>
    <xf numFmtId="14" fontId="22" fillId="0" borderId="0" xfId="0" applyNumberFormat="1" applyFont="1" applyFill="1" applyBorder="1" applyAlignment="1" applyProtection="1">
      <alignment horizontal="left"/>
    </xf>
    <xf numFmtId="0" fontId="22" fillId="25" borderId="13" xfId="0" applyFont="1" applyFill="1" applyBorder="1"/>
    <xf numFmtId="0" fontId="0" fillId="0" borderId="15" xfId="0" applyBorder="1"/>
    <xf numFmtId="0" fontId="0" fillId="0" borderId="16" xfId="0" applyFill="1" applyBorder="1"/>
    <xf numFmtId="0" fontId="22" fillId="25" borderId="11" xfId="0" applyFont="1" applyFill="1" applyBorder="1"/>
    <xf numFmtId="0" fontId="0" fillId="0" borderId="17" xfId="0" applyBorder="1"/>
    <xf numFmtId="0" fontId="0" fillId="0" borderId="12" xfId="0" applyBorder="1"/>
    <xf numFmtId="0" fontId="22" fillId="25" borderId="17" xfId="0" applyFont="1" applyFill="1" applyBorder="1"/>
    <xf numFmtId="0" fontId="22" fillId="28" borderId="11" xfId="0" applyFont="1" applyFill="1" applyBorder="1"/>
    <xf numFmtId="9" fontId="0" fillId="0" borderId="12" xfId="0" applyNumberFormat="1" applyBorder="1"/>
    <xf numFmtId="9" fontId="0" fillId="0" borderId="17" xfId="0" applyNumberFormat="1" applyBorder="1"/>
    <xf numFmtId="0" fontId="0" fillId="0" borderId="11" xfId="0" applyBorder="1"/>
    <xf numFmtId="0" fontId="23" fillId="0" borderId="10" xfId="0" applyFont="1" applyBorder="1"/>
    <xf numFmtId="0" fontId="0" fillId="0" borderId="18" xfId="0" applyFill="1" applyBorder="1"/>
    <xf numFmtId="0" fontId="0" fillId="0" borderId="0" xfId="0" applyBorder="1"/>
    <xf numFmtId="0" fontId="0" fillId="28" borderId="15" xfId="0" applyFill="1" applyBorder="1"/>
    <xf numFmtId="0" fontId="12" fillId="0" borderId="0" xfId="0" applyFont="1"/>
    <xf numFmtId="0" fontId="24" fillId="29" borderId="13" xfId="0" applyFont="1" applyFill="1" applyBorder="1" applyAlignment="1">
      <alignment horizontal="center" wrapText="1"/>
    </xf>
    <xf numFmtId="0" fontId="24" fillId="29" borderId="14" xfId="0" applyFont="1" applyFill="1" applyBorder="1" applyAlignment="1">
      <alignment horizontal="center" wrapText="1"/>
    </xf>
    <xf numFmtId="0" fontId="24" fillId="29" borderId="19" xfId="0" applyFont="1" applyFill="1" applyBorder="1" applyAlignment="1">
      <alignment horizontal="center" wrapText="1"/>
    </xf>
    <xf numFmtId="0" fontId="24" fillId="30" borderId="13" xfId="0" applyFont="1" applyFill="1" applyBorder="1" applyAlignment="1">
      <alignment horizontal="center" wrapText="1"/>
    </xf>
    <xf numFmtId="0" fontId="24" fillId="30" borderId="19" xfId="0" applyFont="1" applyFill="1" applyBorder="1" applyAlignment="1">
      <alignment horizontal="center" wrapText="1"/>
    </xf>
    <xf numFmtId="0" fontId="22" fillId="31" borderId="13" xfId="0" applyFont="1" applyFill="1" applyBorder="1"/>
    <xf numFmtId="0" fontId="22" fillId="31" borderId="14" xfId="0" applyFont="1" applyFill="1" applyBorder="1"/>
    <xf numFmtId="0" fontId="22" fillId="31" borderId="15" xfId="0" applyFont="1" applyFill="1" applyBorder="1"/>
    <xf numFmtId="0" fontId="22" fillId="32" borderId="13" xfId="0" applyFont="1" applyFill="1" applyBorder="1"/>
    <xf numFmtId="0" fontId="22" fillId="32" borderId="19" xfId="0" applyFont="1" applyFill="1" applyBorder="1"/>
    <xf numFmtId="2" fontId="0" fillId="0" borderId="14" xfId="0" applyNumberFormat="1" applyBorder="1"/>
    <xf numFmtId="2" fontId="0" fillId="0" borderId="19" xfId="0" applyNumberFormat="1" applyBorder="1"/>
    <xf numFmtId="0" fontId="0" fillId="33" borderId="13" xfId="0" applyFill="1" applyBorder="1"/>
    <xf numFmtId="0" fontId="0" fillId="25" borderId="13" xfId="0" applyFill="1" applyBorder="1"/>
    <xf numFmtId="2" fontId="0" fillId="25" borderId="14" xfId="0" applyNumberFormat="1" applyFill="1" applyBorder="1"/>
    <xf numFmtId="2" fontId="0" fillId="34" borderId="19" xfId="0" applyNumberFormat="1" applyFill="1" applyBorder="1"/>
    <xf numFmtId="2" fontId="0" fillId="0" borderId="13" xfId="0" applyNumberFormat="1" applyBorder="1"/>
    <xf numFmtId="0" fontId="0" fillId="34" borderId="19" xfId="0" applyFill="1" applyBorder="1"/>
    <xf numFmtId="0" fontId="0" fillId="0" borderId="20" xfId="0" applyBorder="1"/>
    <xf numFmtId="2" fontId="0" fillId="0" borderId="0" xfId="0" applyNumberFormat="1" applyBorder="1"/>
    <xf numFmtId="2" fontId="0" fillId="0" borderId="21" xfId="0" applyNumberFormat="1" applyBorder="1"/>
    <xf numFmtId="0" fontId="0" fillId="25" borderId="20" xfId="0" applyFill="1" applyBorder="1"/>
    <xf numFmtId="2" fontId="0" fillId="25" borderId="0" xfId="0" applyNumberFormat="1" applyFill="1" applyBorder="1"/>
    <xf numFmtId="2" fontId="0" fillId="0" borderId="20" xfId="0" applyNumberFormat="1" applyBorder="1"/>
    <xf numFmtId="0" fontId="0" fillId="0" borderId="21" xfId="0" applyBorder="1"/>
    <xf numFmtId="2" fontId="25" fillId="0" borderId="21" xfId="0" applyNumberFormat="1" applyFont="1" applyBorder="1"/>
    <xf numFmtId="0" fontId="0" fillId="0" borderId="22" xfId="0" applyBorder="1"/>
    <xf numFmtId="2" fontId="0" fillId="0" borderId="23" xfId="0" applyNumberFormat="1" applyBorder="1"/>
    <xf numFmtId="2" fontId="0" fillId="0" borderId="24" xfId="0" applyNumberFormat="1" applyBorder="1"/>
    <xf numFmtId="2" fontId="0" fillId="33" borderId="0" xfId="0" applyNumberFormat="1" applyFill="1" applyBorder="1"/>
    <xf numFmtId="0" fontId="0" fillId="33" borderId="0" xfId="0" applyFill="1" applyBorder="1"/>
    <xf numFmtId="2" fontId="0" fillId="33" borderId="20" xfId="0" applyNumberFormat="1" applyFill="1" applyBorder="1"/>
    <xf numFmtId="0" fontId="0" fillId="33" borderId="21" xfId="0" applyFill="1" applyBorder="1"/>
    <xf numFmtId="2" fontId="0" fillId="33" borderId="23" xfId="0" applyNumberFormat="1" applyFill="1" applyBorder="1"/>
    <xf numFmtId="0" fontId="0" fillId="33" borderId="23" xfId="0" applyFill="1" applyBorder="1"/>
    <xf numFmtId="2" fontId="0" fillId="33" borderId="22" xfId="0" applyNumberFormat="1" applyFill="1" applyBorder="1"/>
    <xf numFmtId="0" fontId="0" fillId="33" borderId="24" xfId="0" applyFill="1" applyBorder="1"/>
    <xf numFmtId="0" fontId="22" fillId="35" borderId="11" xfId="0" applyFont="1" applyFill="1" applyBorder="1" applyAlignment="1">
      <alignment wrapText="1"/>
    </xf>
    <xf numFmtId="0" fontId="22" fillId="35" borderId="17" xfId="0" applyFont="1" applyFill="1" applyBorder="1" applyAlignment="1">
      <alignment horizontal="left" wrapText="1"/>
    </xf>
    <xf numFmtId="0" fontId="22" fillId="35" borderId="12" xfId="0" applyFont="1" applyFill="1" applyBorder="1" applyAlignment="1">
      <alignment horizontal="left" wrapText="1"/>
    </xf>
    <xf numFmtId="2" fontId="0" fillId="0" borderId="0" xfId="0" applyNumberFormat="1"/>
    <xf numFmtId="0" fontId="0" fillId="33" borderId="20" xfId="0" applyFill="1" applyBorder="1"/>
    <xf numFmtId="2" fontId="0" fillId="24" borderId="0" xfId="0" applyNumberFormat="1" applyFill="1" applyBorder="1"/>
    <xf numFmtId="2" fontId="0" fillId="24" borderId="21" xfId="0" applyNumberFormat="1" applyFill="1" applyBorder="1"/>
    <xf numFmtId="0" fontId="0" fillId="26" borderId="13" xfId="0" applyFill="1" applyBorder="1"/>
    <xf numFmtId="0" fontId="0" fillId="28" borderId="13" xfId="0" applyFill="1" applyBorder="1"/>
    <xf numFmtId="2" fontId="0" fillId="28" borderId="14" xfId="0" applyNumberFormat="1" applyFill="1" applyBorder="1"/>
    <xf numFmtId="0" fontId="0" fillId="28" borderId="20" xfId="0" applyFill="1" applyBorder="1"/>
    <xf numFmtId="2" fontId="0" fillId="28" borderId="0" xfId="0" applyNumberFormat="1" applyFill="1" applyBorder="1"/>
    <xf numFmtId="0" fontId="0" fillId="28" borderId="22" xfId="0" applyFill="1" applyBorder="1"/>
    <xf numFmtId="2" fontId="0" fillId="28" borderId="23" xfId="0" applyNumberFormat="1" applyFill="1" applyBorder="1"/>
    <xf numFmtId="0" fontId="0" fillId="33" borderId="0" xfId="0" applyFill="1"/>
    <xf numFmtId="2" fontId="0" fillId="33" borderId="0" xfId="0" applyNumberFormat="1" applyFill="1"/>
    <xf numFmtId="2" fontId="0" fillId="33" borderId="14" xfId="0" applyNumberFormat="1" applyFill="1" applyBorder="1"/>
    <xf numFmtId="0" fontId="0" fillId="26" borderId="10" xfId="0" applyFill="1" applyBorder="1"/>
    <xf numFmtId="0" fontId="0" fillId="27" borderId="14" xfId="0" applyFill="1" applyBorder="1"/>
    <xf numFmtId="0" fontId="0" fillId="32" borderId="14" xfId="0" applyFill="1" applyBorder="1"/>
    <xf numFmtId="0" fontId="0" fillId="0" borderId="19" xfId="0" applyBorder="1"/>
    <xf numFmtId="0" fontId="0" fillId="0" borderId="10" xfId="0" applyBorder="1"/>
    <xf numFmtId="0" fontId="22" fillId="28" borderId="17" xfId="0" applyFont="1" applyFill="1" applyBorder="1"/>
    <xf numFmtId="0" fontId="0" fillId="31" borderId="18" xfId="0" applyFill="1" applyBorder="1"/>
    <xf numFmtId="0" fontId="0" fillId="28" borderId="0" xfId="0" applyFill="1" applyBorder="1"/>
    <xf numFmtId="0" fontId="24" fillId="29" borderId="11" xfId="0" applyFont="1" applyFill="1" applyBorder="1" applyAlignment="1">
      <alignment horizontal="center" wrapText="1"/>
    </xf>
    <xf numFmtId="0" fontId="24" fillId="29" borderId="17" xfId="0" applyFont="1" applyFill="1" applyBorder="1" applyAlignment="1">
      <alignment horizontal="center" wrapText="1"/>
    </xf>
    <xf numFmtId="0" fontId="24" fillId="29" borderId="12" xfId="0" applyFont="1" applyFill="1" applyBorder="1" applyAlignment="1">
      <alignment horizontal="center" wrapText="1"/>
    </xf>
    <xf numFmtId="176" fontId="0" fillId="0" borderId="14" xfId="0" applyNumberFormat="1" applyBorder="1"/>
    <xf numFmtId="176" fontId="0" fillId="0" borderId="0" xfId="0" applyNumberFormat="1" applyBorder="1"/>
    <xf numFmtId="2" fontId="1" fillId="0" borderId="0" xfId="0" applyNumberFormat="1" applyFont="1"/>
    <xf numFmtId="0" fontId="0" fillId="0" borderId="24" xfId="0" applyBorder="1"/>
    <xf numFmtId="0" fontId="22" fillId="35" borderId="11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 wrapText="1"/>
    </xf>
    <xf numFmtId="0" fontId="0" fillId="28" borderId="14" xfId="0" applyFill="1" applyBorder="1"/>
    <xf numFmtId="0" fontId="0" fillId="28" borderId="23" xfId="0" applyFill="1" applyBorder="1"/>
    <xf numFmtId="176" fontId="0" fillId="0" borderId="23" xfId="0" applyNumberFormat="1" applyBorder="1"/>
    <xf numFmtId="0" fontId="25" fillId="0" borderId="0" xfId="0" applyFont="1"/>
    <xf numFmtId="0" fontId="25" fillId="0" borderId="0" xfId="33" applyFont="1"/>
    <xf numFmtId="0" fontId="22" fillId="31" borderId="13" xfId="0" applyFont="1" applyFill="1" applyBorder="1" applyAlignment="1">
      <alignment wrapText="1"/>
    </xf>
    <xf numFmtId="0" fontId="22" fillId="31" borderId="14" xfId="0" applyFont="1" applyFill="1" applyBorder="1" applyAlignment="1">
      <alignment wrapText="1"/>
    </xf>
    <xf numFmtId="0" fontId="22" fillId="32" borderId="11" xfId="0" applyFont="1" applyFill="1" applyBorder="1" applyAlignment="1">
      <alignment wrapText="1"/>
    </xf>
    <xf numFmtId="0" fontId="22" fillId="32" borderId="12" xfId="0" applyFont="1" applyFill="1" applyBorder="1" applyAlignment="1">
      <alignment wrapText="1"/>
    </xf>
    <xf numFmtId="0" fontId="22" fillId="31" borderId="11" xfId="0" applyFont="1" applyFill="1" applyBorder="1" applyAlignment="1">
      <alignment wrapText="1"/>
    </xf>
    <xf numFmtId="0" fontId="22" fillId="31" borderId="17" xfId="0" applyFont="1" applyFill="1" applyBorder="1" applyAlignment="1">
      <alignment wrapText="1"/>
    </xf>
    <xf numFmtId="0" fontId="22" fillId="31" borderId="10" xfId="0" applyFont="1" applyFill="1" applyBorder="1" applyAlignment="1">
      <alignment wrapText="1"/>
    </xf>
    <xf numFmtId="2" fontId="0" fillId="36" borderId="23" xfId="0" applyNumberFormat="1" applyFill="1" applyBorder="1"/>
    <xf numFmtId="0" fontId="12" fillId="36" borderId="16" xfId="0" applyFont="1" applyFill="1" applyBorder="1"/>
    <xf numFmtId="2" fontId="0" fillId="36" borderId="0" xfId="0" applyNumberFormat="1" applyFill="1" applyBorder="1"/>
    <xf numFmtId="0" fontId="12" fillId="36" borderId="25" xfId="0" applyFont="1" applyFill="1" applyBorder="1"/>
    <xf numFmtId="0" fontId="22" fillId="0" borderId="0" xfId="0" applyFont="1" applyFill="1"/>
    <xf numFmtId="2" fontId="0" fillId="36" borderId="26" xfId="0" applyNumberFormat="1" applyFill="1" applyBorder="1"/>
    <xf numFmtId="176" fontId="12" fillId="0" borderId="0" xfId="0" applyNumberFormat="1" applyFont="1"/>
    <xf numFmtId="176" fontId="0" fillId="36" borderId="0" xfId="0" applyNumberFormat="1" applyFill="1" applyBorder="1"/>
    <xf numFmtId="177" fontId="0" fillId="36" borderId="0" xfId="0" applyNumberFormat="1" applyFill="1" applyBorder="1"/>
    <xf numFmtId="0" fontId="0" fillId="36" borderId="0" xfId="0" applyFill="1" applyBorder="1"/>
    <xf numFmtId="0" fontId="12" fillId="37" borderId="15" xfId="0" applyFont="1" applyFill="1" applyBorder="1"/>
    <xf numFmtId="176" fontId="0" fillId="37" borderId="14" xfId="0" applyNumberFormat="1" applyFill="1" applyBorder="1"/>
    <xf numFmtId="177" fontId="0" fillId="37" borderId="14" xfId="0" applyNumberFormat="1" applyFill="1" applyBorder="1"/>
    <xf numFmtId="176" fontId="12" fillId="37" borderId="19" xfId="0" applyNumberFormat="1" applyFont="1" applyFill="1" applyBorder="1"/>
    <xf numFmtId="0" fontId="0" fillId="38" borderId="13" xfId="0" applyFill="1" applyBorder="1"/>
    <xf numFmtId="0" fontId="0" fillId="36" borderId="20" xfId="0" applyFill="1" applyBorder="1"/>
    <xf numFmtId="2" fontId="0" fillId="0" borderId="21" xfId="0" applyNumberFormat="1" applyFill="1" applyBorder="1"/>
    <xf numFmtId="2" fontId="0" fillId="36" borderId="14" xfId="0" applyNumberFormat="1" applyFill="1" applyBorder="1"/>
    <xf numFmtId="0" fontId="0" fillId="36" borderId="23" xfId="0" applyFill="1" applyBorder="1"/>
    <xf numFmtId="0" fontId="0" fillId="0" borderId="21" xfId="0" applyFill="1" applyBorder="1"/>
    <xf numFmtId="2" fontId="0" fillId="36" borderId="17" xfId="0" applyNumberFormat="1" applyFill="1" applyBorder="1"/>
    <xf numFmtId="177" fontId="12" fillId="37" borderId="19" xfId="0" applyNumberFormat="1" applyFont="1" applyFill="1" applyBorder="1"/>
    <xf numFmtId="176" fontId="0" fillId="36" borderId="21" xfId="0" applyNumberFormat="1" applyFill="1" applyBorder="1"/>
    <xf numFmtId="176" fontId="0" fillId="36" borderId="22" xfId="0" applyNumberFormat="1" applyFill="1" applyBorder="1"/>
    <xf numFmtId="176" fontId="0" fillId="36" borderId="23" xfId="0" applyNumberFormat="1" applyFill="1" applyBorder="1"/>
    <xf numFmtId="176" fontId="0" fillId="36" borderId="26" xfId="0" applyNumberFormat="1" applyFill="1" applyBorder="1"/>
    <xf numFmtId="177" fontId="0" fillId="36" borderId="21" xfId="0" applyNumberFormat="1" applyFill="1" applyBorder="1"/>
    <xf numFmtId="177" fontId="12" fillId="0" borderId="0" xfId="0" applyNumberFormat="1" applyFont="1"/>
    <xf numFmtId="182" fontId="12" fillId="0" borderId="0" xfId="0" applyNumberFormat="1" applyFont="1"/>
  </cellXfs>
  <cellStyles count="43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Incorrecto" xfId="31"/>
    <cellStyle name="Neutral" xfId="32" builtinId="28" customBuiltin="1"/>
    <cellStyle name="Normal" xfId="0" builtinId="0"/>
    <cellStyle name="Normal 2" xfId="33"/>
    <cellStyle name="Notas" xfId="34"/>
    <cellStyle name="Salida" xfId="35"/>
    <cellStyle name="Texto de advertencia" xfId="36"/>
    <cellStyle name="Texto explicativo" xfId="37"/>
    <cellStyle name="Título" xfId="38"/>
    <cellStyle name="Título 1" xfId="39"/>
    <cellStyle name="Título 2" xfId="40"/>
    <cellStyle name="Título 3" xfId="4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>
      <selection activeCell="A22" sqref="A22"/>
    </sheetView>
  </sheetViews>
  <sheetFormatPr defaultColWidth="11.42578125" defaultRowHeight="12.75"/>
  <cols>
    <col min="1" max="1" width="28" customWidth="1"/>
    <col min="2" max="2" width="16.42578125" customWidth="1"/>
    <col min="3" max="3" width="13.140625" customWidth="1"/>
    <col min="4" max="4" width="17.140625" customWidth="1"/>
    <col min="5" max="5" width="14.7109375" customWidth="1"/>
    <col min="6" max="6" width="10.7109375" customWidth="1"/>
    <col min="7" max="7" width="26.28515625" customWidth="1"/>
    <col min="8" max="9" width="11.42578125" customWidth="1"/>
    <col min="10" max="10" width="30.5703125" customWidth="1"/>
    <col min="11" max="12" width="16.5703125" customWidth="1"/>
    <col min="13" max="13" width="17.85546875" customWidth="1"/>
    <col min="14" max="14" width="10.42578125" customWidth="1"/>
    <col min="15" max="16" width="11.42578125" customWidth="1"/>
    <col min="17" max="19" width="19" customWidth="1"/>
    <col min="20" max="20" width="11.42578125" customWidth="1"/>
    <col min="21" max="21" width="11.5703125" customWidth="1"/>
  </cols>
  <sheetData>
    <row r="1" spans="1:21" ht="21" thickBot="1">
      <c r="A1" s="1" t="s">
        <v>0</v>
      </c>
      <c r="B1" s="2" t="s">
        <v>1</v>
      </c>
      <c r="C1" s="2" t="s">
        <v>2</v>
      </c>
      <c r="D1" s="2"/>
      <c r="E1" s="3" t="s">
        <v>3</v>
      </c>
      <c r="F1" s="4" t="s">
        <v>4</v>
      </c>
      <c r="G1" s="5"/>
      <c r="H1" s="6" t="s">
        <v>5</v>
      </c>
      <c r="I1" s="7" t="s">
        <v>6</v>
      </c>
      <c r="J1" s="8"/>
      <c r="K1" s="9"/>
      <c r="L1" s="9"/>
      <c r="M1" s="9"/>
      <c r="N1" s="10" t="s">
        <v>7</v>
      </c>
      <c r="O1" s="11" t="s">
        <v>8</v>
      </c>
      <c r="P1" s="12" t="s">
        <v>9</v>
      </c>
      <c r="T1" t="s">
        <v>5</v>
      </c>
    </row>
    <row r="2" spans="1:21" ht="13.5" thickBot="1">
      <c r="A2" s="13">
        <v>41130</v>
      </c>
      <c r="B2" t="s">
        <v>10</v>
      </c>
      <c r="C2" t="s">
        <v>11</v>
      </c>
      <c r="D2" s="14" t="s">
        <v>12</v>
      </c>
      <c r="E2" s="15">
        <v>304</v>
      </c>
      <c r="F2" s="16">
        <v>122</v>
      </c>
      <c r="G2" s="17" t="s">
        <v>13</v>
      </c>
      <c r="H2" s="18">
        <v>120</v>
      </c>
      <c r="I2" s="19">
        <v>1.2</v>
      </c>
      <c r="J2" s="17" t="s">
        <v>14</v>
      </c>
      <c r="K2" s="20"/>
      <c r="L2" s="20"/>
      <c r="M2" s="20"/>
      <c r="N2" s="18">
        <v>-1.5</v>
      </c>
      <c r="O2" s="19">
        <v>-0.1</v>
      </c>
      <c r="P2" s="19">
        <v>10</v>
      </c>
      <c r="Q2" s="21" t="s">
        <v>15</v>
      </c>
      <c r="R2" s="22">
        <v>0.4</v>
      </c>
      <c r="S2" s="23"/>
      <c r="T2" s="24" t="s">
        <v>16</v>
      </c>
      <c r="U2" s="19">
        <v>0</v>
      </c>
    </row>
    <row r="3" spans="1:21" ht="18.75" thickBot="1">
      <c r="A3" s="25" t="s">
        <v>17</v>
      </c>
      <c r="B3" s="26"/>
      <c r="C3" s="26"/>
      <c r="D3" s="26"/>
      <c r="E3" s="26"/>
      <c r="F3" s="26"/>
      <c r="J3" t="s">
        <v>18</v>
      </c>
      <c r="K3">
        <v>0.54469999999999996</v>
      </c>
      <c r="N3" s="24" t="s">
        <v>19</v>
      </c>
      <c r="O3" s="19">
        <v>0.35</v>
      </c>
      <c r="P3" s="27"/>
      <c r="Q3" s="28" t="s">
        <v>20</v>
      </c>
      <c r="R3">
        <v>63</v>
      </c>
    </row>
    <row r="4" spans="1:21" ht="24.75" thickBot="1">
      <c r="A4" s="29" t="s">
        <v>21</v>
      </c>
      <c r="B4" s="30" t="s">
        <v>22</v>
      </c>
      <c r="C4" s="31" t="s">
        <v>23</v>
      </c>
      <c r="D4" s="31" t="s">
        <v>24</v>
      </c>
      <c r="E4" s="32" t="s">
        <v>25</v>
      </c>
      <c r="G4" t="s">
        <v>26</v>
      </c>
      <c r="H4" s="33" t="s">
        <v>27</v>
      </c>
      <c r="I4" s="34" t="s">
        <v>28</v>
      </c>
      <c r="J4" s="35" t="s">
        <v>29</v>
      </c>
      <c r="K4" s="36" t="s">
        <v>30</v>
      </c>
      <c r="L4" s="36" t="s">
        <v>31</v>
      </c>
      <c r="M4" s="36" t="s">
        <v>32</v>
      </c>
      <c r="N4" s="37" t="s">
        <v>33</v>
      </c>
      <c r="O4" s="38" t="s">
        <v>27</v>
      </c>
      <c r="P4" s="39" t="s">
        <v>28</v>
      </c>
      <c r="Q4" s="35" t="s">
        <v>34</v>
      </c>
      <c r="R4" s="36" t="s">
        <v>30</v>
      </c>
      <c r="S4" s="36" t="s">
        <v>31</v>
      </c>
      <c r="T4" s="36" t="s">
        <v>35</v>
      </c>
      <c r="U4" s="37" t="s">
        <v>36</v>
      </c>
    </row>
    <row r="5" spans="1:21">
      <c r="A5" s="8" t="s">
        <v>37</v>
      </c>
      <c r="B5" s="40">
        <v>1164.70604693619</v>
      </c>
      <c r="C5" s="40">
        <v>2.43459441758603E-2</v>
      </c>
      <c r="D5" s="40">
        <v>7.3192331307645597</v>
      </c>
      <c r="E5" s="41">
        <v>0.89769475552674904</v>
      </c>
      <c r="G5" s="42" t="s">
        <v>38</v>
      </c>
      <c r="H5" s="43">
        <v>0.01</v>
      </c>
      <c r="I5" s="44">
        <f t="shared" ref="I5:I17" si="0">$E$2*$O$3*EXP($N$2*H5)</f>
        <v>104.81591037376586</v>
      </c>
      <c r="J5" s="40">
        <f t="shared" ref="J5:J19" si="1">$B$6*(1-EXP((-$C$6*I5)/$B$6))*(EXP((-$D$6*I5)/$B$6))</f>
        <v>0.68436729652040895</v>
      </c>
      <c r="K5" s="40">
        <v>0.18961728194045041</v>
      </c>
      <c r="L5" s="40">
        <f>K5/$K$3</f>
        <v>0.34811324020644469</v>
      </c>
      <c r="M5" s="40">
        <f t="shared" ref="M5:M17" si="2">J5*L5*0.1*24</f>
        <v>0.57176956099930631</v>
      </c>
      <c r="N5" s="45">
        <f>SUM(M5:M17)</f>
        <v>9.17004457440712</v>
      </c>
      <c r="O5" s="40">
        <v>0.1</v>
      </c>
      <c r="P5" s="9">
        <f t="shared" ref="P5:P10" si="3">$E$2*$O$3*EXP($O$2*O5)</f>
        <v>105.34130231091147</v>
      </c>
      <c r="Q5" s="46">
        <f t="shared" ref="Q5:Q12" si="4">$B$8*(1-EXP((-$C$8*P5)/$B$8))*(EXP((-$D$8*P5)/$B$8))</f>
        <v>1.3027242582106431</v>
      </c>
      <c r="R5" s="40">
        <v>0.24594448201506902</v>
      </c>
      <c r="S5" s="40">
        <f t="shared" ref="S5:S12" si="5">R5/$K$3</f>
        <v>0.45152282360027363</v>
      </c>
      <c r="T5" s="9">
        <f t="shared" ref="T5:T10" si="6">Q5*S5*0.1*24</f>
        <v>1.4117033650556197</v>
      </c>
      <c r="U5" s="47">
        <f>SUM(T5:T10)</f>
        <v>8.3584039897795748</v>
      </c>
    </row>
    <row r="6" spans="1:21">
      <c r="A6" s="48" t="s">
        <v>39</v>
      </c>
      <c r="B6" s="49">
        <v>377.526595319259</v>
      </c>
      <c r="C6" s="49">
        <v>1.22761404391906E-2</v>
      </c>
      <c r="D6" s="49">
        <v>2.2679302769007501</v>
      </c>
      <c r="E6" s="50">
        <v>0.83440475860973395</v>
      </c>
      <c r="G6" s="48" t="s">
        <v>40</v>
      </c>
      <c r="H6" s="51">
        <v>0.11</v>
      </c>
      <c r="I6" s="52">
        <f t="shared" si="0"/>
        <v>90.215890114954234</v>
      </c>
      <c r="J6" s="49">
        <f t="shared" si="1"/>
        <v>0.64318942746361396</v>
      </c>
      <c r="K6" s="49">
        <v>4.9872471469491558E-2</v>
      </c>
      <c r="L6" s="49">
        <f>K6/$K$3</f>
        <v>9.1559521699084934E-2</v>
      </c>
      <c r="M6" s="49">
        <f t="shared" si="2"/>
        <v>0.14133627921714428</v>
      </c>
      <c r="N6" s="50"/>
      <c r="O6" s="49">
        <v>0.2</v>
      </c>
      <c r="P6" s="27">
        <f t="shared" si="3"/>
        <v>104.29313883983875</v>
      </c>
      <c r="Q6" s="53">
        <f t="shared" si="4"/>
        <v>1.2958768332165689</v>
      </c>
      <c r="R6" s="49">
        <v>0.24594448201506902</v>
      </c>
      <c r="S6" s="49">
        <f t="shared" si="5"/>
        <v>0.45152282360027363</v>
      </c>
      <c r="T6" s="27">
        <f t="shared" si="6"/>
        <v>1.4042831202531025</v>
      </c>
      <c r="U6" s="54"/>
    </row>
    <row r="7" spans="1:21">
      <c r="A7" s="48" t="s">
        <v>41</v>
      </c>
      <c r="B7" s="49">
        <v>2.6205494794085502E-2</v>
      </c>
      <c r="C7" s="49">
        <v>3.1028939096890001E-3</v>
      </c>
      <c r="D7" s="49">
        <v>2.1512649834909201E-5</v>
      </c>
      <c r="E7" s="55">
        <v>-3.0819997936692101E-2</v>
      </c>
      <c r="G7" s="48"/>
      <c r="H7" s="51">
        <v>0.21</v>
      </c>
      <c r="I7" s="52">
        <f t="shared" si="0"/>
        <v>77.649536222227638</v>
      </c>
      <c r="J7" s="49">
        <f t="shared" si="1"/>
        <v>0.59712940477769572</v>
      </c>
      <c r="K7" s="49">
        <v>0.15420942140500021</v>
      </c>
      <c r="L7" s="49">
        <f t="shared" ref="L7:L17" si="7">K7/$K$3</f>
        <v>0.28310890656324622</v>
      </c>
      <c r="M7" s="49">
        <f t="shared" si="2"/>
        <v>0.40572636687210117</v>
      </c>
      <c r="N7" s="50"/>
      <c r="O7" s="49">
        <v>0.3</v>
      </c>
      <c r="P7" s="27">
        <f t="shared" si="3"/>
        <v>103.25540476956125</v>
      </c>
      <c r="Q7" s="53">
        <f t="shared" si="4"/>
        <v>1.2890047337082471</v>
      </c>
      <c r="R7" s="49">
        <v>0.24594448201506902</v>
      </c>
      <c r="S7" s="49">
        <f t="shared" si="5"/>
        <v>0.45152282360027363</v>
      </c>
      <c r="T7" s="27">
        <f t="shared" si="6"/>
        <v>1.3968361367953599</v>
      </c>
      <c r="U7" s="54"/>
    </row>
    <row r="8" spans="1:21" ht="13.5" thickBot="1">
      <c r="A8" s="56" t="s">
        <v>42</v>
      </c>
      <c r="B8" s="57">
        <v>798.31996275920096</v>
      </c>
      <c r="C8" s="57">
        <v>1.9892977145042699E-2</v>
      </c>
      <c r="D8" s="57">
        <v>3.5925258884439502</v>
      </c>
      <c r="E8" s="58">
        <v>0.90731819409555003</v>
      </c>
      <c r="G8" s="48"/>
      <c r="H8" s="51">
        <v>0.31</v>
      </c>
      <c r="I8" s="52">
        <f t="shared" si="0"/>
        <v>66.83357519217779</v>
      </c>
      <c r="J8" s="49">
        <f t="shared" si="1"/>
        <v>0.54855348036944329</v>
      </c>
      <c r="K8" s="49">
        <v>0.20544832669379384</v>
      </c>
      <c r="L8" s="49">
        <f t="shared" si="7"/>
        <v>0.37717702715952606</v>
      </c>
      <c r="M8" s="49">
        <f t="shared" si="2"/>
        <v>0.49656425031301937</v>
      </c>
      <c r="N8" s="50"/>
      <c r="O8" s="49">
        <v>0.4</v>
      </c>
      <c r="P8" s="27">
        <f t="shared" si="3"/>
        <v>102.22799632580718</v>
      </c>
      <c r="Q8" s="53">
        <f t="shared" si="4"/>
        <v>1.2821093360462286</v>
      </c>
      <c r="R8" s="49">
        <v>0.24594448201506902</v>
      </c>
      <c r="S8" s="49">
        <f t="shared" si="5"/>
        <v>0.45152282360027363</v>
      </c>
      <c r="T8" s="27">
        <f t="shared" si="6"/>
        <v>1.3893639061820764</v>
      </c>
      <c r="U8" s="54"/>
    </row>
    <row r="9" spans="1:21">
      <c r="G9" s="48"/>
      <c r="H9" s="51">
        <v>0.41</v>
      </c>
      <c r="I9" s="52">
        <f t="shared" si="0"/>
        <v>57.52419126091128</v>
      </c>
      <c r="J9" s="49">
        <f t="shared" si="1"/>
        <v>0.49937669509004901</v>
      </c>
      <c r="K9" s="49">
        <v>0.37440424261688043</v>
      </c>
      <c r="L9" s="49">
        <f t="shared" si="7"/>
        <v>0.68735862422779592</v>
      </c>
      <c r="M9" s="49">
        <f t="shared" si="2"/>
        <v>0.82380210746044713</v>
      </c>
      <c r="N9" s="50"/>
      <c r="O9" s="49">
        <v>0.5</v>
      </c>
      <c r="P9" s="27">
        <f t="shared" si="3"/>
        <v>101.21081076687597</v>
      </c>
      <c r="Q9" s="53">
        <f t="shared" si="4"/>
        <v>1.2751919969224541</v>
      </c>
      <c r="R9" s="49">
        <v>0.24594448201506902</v>
      </c>
      <c r="S9" s="49">
        <f t="shared" si="5"/>
        <v>0.45152282360027363</v>
      </c>
      <c r="T9" s="27">
        <f t="shared" si="6"/>
        <v>1.381867898598955</v>
      </c>
      <c r="U9" s="54"/>
    </row>
    <row r="10" spans="1:21">
      <c r="G10" s="48"/>
      <c r="H10" s="51">
        <v>0.51</v>
      </c>
      <c r="I10" s="52">
        <f t="shared" si="0"/>
        <v>49.511530255666941</v>
      </c>
      <c r="J10" s="49">
        <f t="shared" si="1"/>
        <v>0.451071435212135</v>
      </c>
      <c r="K10" s="49">
        <v>0.34367899359692128</v>
      </c>
      <c r="L10" s="49">
        <f t="shared" si="7"/>
        <v>0.63095097043679327</v>
      </c>
      <c r="M10" s="49">
        <f t="shared" si="2"/>
        <v>0.68304950348019289</v>
      </c>
      <c r="N10" s="50"/>
      <c r="O10" s="49">
        <v>0.6</v>
      </c>
      <c r="P10" s="27">
        <f t="shared" si="3"/>
        <v>100.20374637336405</v>
      </c>
      <c r="Q10" s="53">
        <f t="shared" si="4"/>
        <v>1.2682540533387965</v>
      </c>
      <c r="R10" s="49">
        <v>0.24594448201506902</v>
      </c>
      <c r="S10" s="49">
        <f t="shared" si="5"/>
        <v>0.45152282360027363</v>
      </c>
      <c r="T10" s="27">
        <f t="shared" si="6"/>
        <v>1.3743495628944611</v>
      </c>
      <c r="U10" s="54"/>
    </row>
    <row r="11" spans="1:21" ht="15" customHeight="1">
      <c r="G11" s="48"/>
      <c r="H11" s="51">
        <v>0.61</v>
      </c>
      <c r="I11" s="52">
        <f t="shared" si="0"/>
        <v>42.614969016063114</v>
      </c>
      <c r="J11" s="49">
        <f t="shared" si="1"/>
        <v>0.40470880261541953</v>
      </c>
      <c r="K11" s="49">
        <v>0.46215886219283397</v>
      </c>
      <c r="L11" s="49">
        <f t="shared" si="7"/>
        <v>0.84846495721100423</v>
      </c>
      <c r="M11" s="49">
        <f t="shared" si="2"/>
        <v>0.82411496854562083</v>
      </c>
      <c r="N11" s="50"/>
      <c r="O11" s="59"/>
      <c r="P11" s="60">
        <v>50</v>
      </c>
      <c r="Q11" s="61">
        <f t="shared" si="4"/>
        <v>0.79374438697887839</v>
      </c>
      <c r="R11" s="59">
        <v>0.24594448201506902</v>
      </c>
      <c r="S11" s="59">
        <f t="shared" si="5"/>
        <v>0.45152282360027363</v>
      </c>
      <c r="T11" s="60">
        <f>Q11*S11*24</f>
        <v>8.6014489638137146</v>
      </c>
      <c r="U11" s="62"/>
    </row>
    <row r="12" spans="1:21" ht="13.5" thickBot="1">
      <c r="G12" s="48"/>
      <c r="H12" s="51">
        <v>0.71</v>
      </c>
      <c r="I12" s="52">
        <f t="shared" si="0"/>
        <v>36.679043747232221</v>
      </c>
      <c r="J12" s="49">
        <f t="shared" si="1"/>
        <v>0.3610164076735089</v>
      </c>
      <c r="K12" s="49">
        <v>0.47267978931826926</v>
      </c>
      <c r="L12" s="49">
        <f t="shared" si="7"/>
        <v>0.86778004280938004</v>
      </c>
      <c r="M12" s="49">
        <f t="shared" si="2"/>
        <v>0.75187880089393488</v>
      </c>
      <c r="N12" s="50"/>
      <c r="O12" s="63"/>
      <c r="P12" s="64">
        <v>10</v>
      </c>
      <c r="Q12" s="65">
        <f t="shared" si="4"/>
        <v>0.19015246296141367</v>
      </c>
      <c r="R12" s="63">
        <v>0.24594448201506902</v>
      </c>
      <c r="S12" s="59">
        <f t="shared" si="5"/>
        <v>0.45152282360027363</v>
      </c>
      <c r="T12" s="64">
        <f>Q12*S12*0.1*24</f>
        <v>0.20605962477812151</v>
      </c>
      <c r="U12" s="66"/>
    </row>
    <row r="13" spans="1:21" ht="15" customHeight="1" thickBot="1">
      <c r="A13" s="127" t="s">
        <v>43</v>
      </c>
      <c r="B13" s="67" t="s">
        <v>44</v>
      </c>
      <c r="C13" s="68" t="s">
        <v>45</v>
      </c>
      <c r="D13" s="68" t="s">
        <v>46</v>
      </c>
      <c r="E13" s="69" t="s">
        <v>47</v>
      </c>
      <c r="G13" s="48"/>
      <c r="H13" s="51">
        <v>0.81</v>
      </c>
      <c r="I13" s="52">
        <f t="shared" si="0"/>
        <v>31.569945520886414</v>
      </c>
      <c r="J13" s="49">
        <f t="shared" si="1"/>
        <v>0.32044111953916032</v>
      </c>
      <c r="K13" s="49">
        <v>0.46219750908989554</v>
      </c>
      <c r="L13" s="49">
        <f t="shared" si="7"/>
        <v>0.84853590800421441</v>
      </c>
      <c r="M13" s="49">
        <f t="shared" si="2"/>
        <v>0.65257391119211627</v>
      </c>
      <c r="N13" s="50"/>
      <c r="O13" s="70"/>
    </row>
    <row r="14" spans="1:21">
      <c r="A14" s="123" t="s">
        <v>48</v>
      </c>
      <c r="B14" s="124">
        <f>N20</f>
        <v>19.361393505237299</v>
      </c>
      <c r="C14" s="124">
        <f>N5</f>
        <v>9.17004457440712</v>
      </c>
      <c r="D14" s="124">
        <f>U5</f>
        <v>8.3584039897795748</v>
      </c>
      <c r="E14" s="126">
        <f>E16*B29</f>
        <v>1.7234640000000001E-3</v>
      </c>
      <c r="F14" s="29"/>
      <c r="G14" s="48"/>
      <c r="H14" s="51">
        <v>0.91</v>
      </c>
      <c r="I14" s="52">
        <f t="shared" si="0"/>
        <v>27.172503925131462</v>
      </c>
      <c r="J14" s="49">
        <f t="shared" si="1"/>
        <v>0.28320951317725035</v>
      </c>
      <c r="K14" s="49">
        <v>0.65353190801035477</v>
      </c>
      <c r="L14" s="49">
        <f t="shared" si="7"/>
        <v>1.1998015568392781</v>
      </c>
      <c r="M14" s="49">
        <f t="shared" si="2"/>
        <v>0.8155085155722217</v>
      </c>
      <c r="N14" s="50"/>
      <c r="O14" s="70"/>
    </row>
    <row r="15" spans="1:21">
      <c r="A15" s="114" t="s">
        <v>51</v>
      </c>
      <c r="B15" s="120">
        <f>M38</f>
        <v>2.1456998591713012</v>
      </c>
      <c r="C15" s="120">
        <f>M19</f>
        <v>4.3933480445649344</v>
      </c>
      <c r="D15" s="120">
        <f>T11</f>
        <v>8.6014489638137146</v>
      </c>
      <c r="E15" s="135">
        <v>1010</v>
      </c>
      <c r="G15" s="48"/>
      <c r="H15" s="51">
        <v>1.01</v>
      </c>
      <c r="I15" s="52">
        <f t="shared" si="0"/>
        <v>23.38759086780184</v>
      </c>
      <c r="J15" s="49">
        <f t="shared" si="1"/>
        <v>0.24938197029169193</v>
      </c>
      <c r="K15" s="49">
        <v>1.3444965198712133</v>
      </c>
      <c r="L15" s="49">
        <f t="shared" si="7"/>
        <v>2.4683248024072211</v>
      </c>
      <c r="M15" s="49">
        <f t="shared" si="2"/>
        <v>1.4773336861059936</v>
      </c>
      <c r="N15" s="50"/>
      <c r="O15" s="70"/>
    </row>
    <row r="16" spans="1:21" ht="13.5" thickBot="1">
      <c r="A16" s="116" t="s">
        <v>62</v>
      </c>
      <c r="B16" s="136">
        <f>J38*24</f>
        <v>21.326594002407074</v>
      </c>
      <c r="C16" s="137">
        <f>J19*24</f>
        <v>10.900398592331943</v>
      </c>
      <c r="D16" s="137">
        <f>Q11*24</f>
        <v>19.049865287493081</v>
      </c>
      <c r="E16" s="138">
        <f>E15/B20</f>
        <v>0.99214968440036055</v>
      </c>
      <c r="F16" s="117"/>
      <c r="G16" s="48"/>
      <c r="H16" s="51">
        <v>1.1100000000000001</v>
      </c>
      <c r="I16" s="52">
        <f t="shared" si="0"/>
        <v>20.129886009282888</v>
      </c>
      <c r="J16" s="49">
        <f t="shared" si="1"/>
        <v>0.21889864964358022</v>
      </c>
      <c r="K16" s="49">
        <v>0.84388052850426931</v>
      </c>
      <c r="L16" s="49">
        <f t="shared" si="7"/>
        <v>1.5492574417188716</v>
      </c>
      <c r="M16" s="49">
        <f t="shared" si="2"/>
        <v>0.81391286866206869</v>
      </c>
      <c r="N16" s="50"/>
      <c r="O16" s="70"/>
    </row>
    <row r="17" spans="2:15">
      <c r="G17" s="48"/>
      <c r="H17" s="51">
        <v>1.21</v>
      </c>
      <c r="I17" s="52">
        <f t="shared" si="0"/>
        <v>17.325953452716956</v>
      </c>
      <c r="J17" s="49">
        <f t="shared" si="1"/>
        <v>0.19161700091154513</v>
      </c>
      <c r="K17" s="49">
        <v>0.84388052850426931</v>
      </c>
      <c r="L17" s="49">
        <f t="shared" si="7"/>
        <v>1.5492574417188716</v>
      </c>
      <c r="M17" s="49">
        <f t="shared" si="2"/>
        <v>0.71247375509295152</v>
      </c>
      <c r="N17" s="50"/>
      <c r="O17" s="70"/>
    </row>
    <row r="18" spans="2:15">
      <c r="G18" s="48"/>
      <c r="H18" s="71"/>
      <c r="I18" s="59">
        <v>10</v>
      </c>
      <c r="J18" s="59">
        <f t="shared" si="1"/>
        <v>0.11558505857626458</v>
      </c>
      <c r="K18" s="59">
        <f>AVERAGE(K5:K11)</f>
        <v>0.25419851427362455</v>
      </c>
      <c r="L18" s="72">
        <v>0.40304471504881523</v>
      </c>
      <c r="M18" s="72">
        <f t="shared" ref="M18:M39" si="8">J18*L18*24</f>
        <v>1.1180627279465081</v>
      </c>
      <c r="N18" s="73"/>
      <c r="O18" s="70"/>
    </row>
    <row r="19" spans="2:15" ht="13.5" thickBot="1">
      <c r="B19" s="29" t="s">
        <v>63</v>
      </c>
      <c r="E19" s="104"/>
      <c r="G19" s="56"/>
      <c r="H19" s="71"/>
      <c r="I19" s="59">
        <v>50</v>
      </c>
      <c r="J19" s="59">
        <f t="shared" si="1"/>
        <v>0.45418327468049757</v>
      </c>
      <c r="K19" s="59">
        <f>AVERAGE(K5:K11)</f>
        <v>0.25419851427362455</v>
      </c>
      <c r="L19" s="72">
        <v>0.40304471504881523</v>
      </c>
      <c r="M19" s="72">
        <f t="shared" si="8"/>
        <v>4.3933480445649344</v>
      </c>
      <c r="N19" s="73"/>
      <c r="O19" s="70"/>
    </row>
    <row r="20" spans="2:15">
      <c r="B20" s="140">
        <v>1017.9915549843952</v>
      </c>
      <c r="E20" s="105"/>
      <c r="G20" s="74" t="s">
        <v>49</v>
      </c>
      <c r="H20" s="75">
        <v>1</v>
      </c>
      <c r="I20" s="76">
        <f t="shared" ref="I20:I37" si="9">$E$2*$O$3*EXP($N$2*$H$17)*EXP($O$2*H20)</f>
        <v>15.677170987167628</v>
      </c>
      <c r="J20" s="40">
        <f t="shared" ref="J20:J39" si="10">$B$5*(1-EXP((-$C$5*I20)/$B$5))*(EXP((-$D$5*I20)/$B$5))</f>
        <v>0.3458097245143007</v>
      </c>
      <c r="K20" s="40">
        <v>0.18856019999999998</v>
      </c>
      <c r="L20" s="40">
        <f>K20/$K$3</f>
        <v>0.34617257205801361</v>
      </c>
      <c r="M20" s="40">
        <f t="shared" si="8"/>
        <v>2.8730362026669263</v>
      </c>
      <c r="N20" s="45">
        <f>SUM(M20:M37)</f>
        <v>19.361393505237299</v>
      </c>
      <c r="O20" s="70"/>
    </row>
    <row r="21" spans="2:15">
      <c r="B21" s="29"/>
      <c r="G21" s="48"/>
      <c r="H21" s="77">
        <v>2</v>
      </c>
      <c r="I21" s="78">
        <f t="shared" si="9"/>
        <v>14.185290918137012</v>
      </c>
      <c r="J21" s="49">
        <f t="shared" si="10"/>
        <v>0.31585382986521365</v>
      </c>
      <c r="K21" s="49">
        <v>0.18856019999999998</v>
      </c>
      <c r="L21" s="49">
        <f>K21/$K$3</f>
        <v>0.34617257205801361</v>
      </c>
      <c r="M21" s="49">
        <f t="shared" si="8"/>
        <v>2.6241583842915657</v>
      </c>
      <c r="N21" s="50"/>
      <c r="O21" s="70"/>
    </row>
    <row r="22" spans="2:15">
      <c r="B22" s="29" t="s">
        <v>64</v>
      </c>
      <c r="G22" s="48"/>
      <c r="H22" s="77">
        <v>3</v>
      </c>
      <c r="I22" s="78">
        <f t="shared" si="9"/>
        <v>12.835382008456042</v>
      </c>
      <c r="J22" s="49">
        <f t="shared" si="10"/>
        <v>0.28823517701637408</v>
      </c>
      <c r="K22" s="49">
        <v>0.18856019999999998</v>
      </c>
      <c r="L22" s="49">
        <f t="shared" ref="L22:L37" si="11">K22/$K$3</f>
        <v>0.34617257205801361</v>
      </c>
      <c r="M22" s="49">
        <f t="shared" si="8"/>
        <v>2.3946987020485215</v>
      </c>
      <c r="N22" s="50"/>
      <c r="O22" s="70"/>
    </row>
    <row r="23" spans="2:15">
      <c r="B23" s="119">
        <v>3.6647695979438226</v>
      </c>
      <c r="G23" s="48"/>
      <c r="H23" s="77">
        <v>4</v>
      </c>
      <c r="I23" s="78">
        <f t="shared" si="9"/>
        <v>11.613933916036574</v>
      </c>
      <c r="J23" s="49">
        <f t="shared" si="10"/>
        <v>0.26281892846032945</v>
      </c>
      <c r="K23" s="49">
        <v>0.15824639999999998</v>
      </c>
      <c r="L23" s="49">
        <f t="shared" si="11"/>
        <v>0.29052028639618138</v>
      </c>
      <c r="M23" s="49">
        <f t="shared" si="8"/>
        <v>1.8325015287991779</v>
      </c>
      <c r="N23" s="50"/>
      <c r="O23" s="70"/>
    </row>
    <row r="24" spans="2:15">
      <c r="B24" s="29"/>
      <c r="G24" s="48"/>
      <c r="H24" s="77">
        <v>5</v>
      </c>
      <c r="I24" s="78">
        <f t="shared" si="9"/>
        <v>10.508721977826793</v>
      </c>
      <c r="J24" s="49">
        <f t="shared" si="10"/>
        <v>0.23946858083209258</v>
      </c>
      <c r="K24" s="49">
        <v>0.15824639999999998</v>
      </c>
      <c r="L24" s="49">
        <f t="shared" si="11"/>
        <v>0.29052028639618138</v>
      </c>
      <c r="M24" s="49">
        <f t="shared" si="8"/>
        <v>1.6696915364694396</v>
      </c>
      <c r="N24" s="50"/>
      <c r="O24" s="70"/>
    </row>
    <row r="25" spans="2:15">
      <c r="B25" s="29" t="s">
        <v>65</v>
      </c>
      <c r="G25" s="48"/>
      <c r="H25" s="77">
        <v>6</v>
      </c>
      <c r="I25" s="78">
        <f t="shared" si="9"/>
        <v>9.5086848612745385</v>
      </c>
      <c r="J25" s="49">
        <f t="shared" si="10"/>
        <v>0.21804840855398566</v>
      </c>
      <c r="K25" s="49">
        <v>0.10404899999999999</v>
      </c>
      <c r="L25" s="49">
        <f t="shared" si="11"/>
        <v>0.19102074536442076</v>
      </c>
      <c r="M25" s="49">
        <f t="shared" si="8"/>
        <v>0.99964246866019402</v>
      </c>
      <c r="N25" s="50"/>
      <c r="O25" s="70"/>
    </row>
    <row r="26" spans="2:15">
      <c r="B26" s="119">
        <v>3.6392999707798985</v>
      </c>
      <c r="G26" s="48"/>
      <c r="H26" s="77">
        <v>7</v>
      </c>
      <c r="I26" s="78">
        <f t="shared" si="9"/>
        <v>8.60381385879327</v>
      </c>
      <c r="J26" s="49">
        <f t="shared" si="10"/>
        <v>0.19842534492304303</v>
      </c>
      <c r="K26" s="49">
        <v>8.9351399999999997E-2</v>
      </c>
      <c r="L26" s="49">
        <f t="shared" si="11"/>
        <v>0.16403781898292638</v>
      </c>
      <c r="M26" s="49">
        <f t="shared" si="8"/>
        <v>0.78118225949066067</v>
      </c>
      <c r="N26" s="50"/>
      <c r="O26" s="70"/>
    </row>
    <row r="27" spans="2:15">
      <c r="B27" s="29"/>
      <c r="G27" s="48"/>
      <c r="H27" s="77">
        <v>8</v>
      </c>
      <c r="I27" s="78">
        <f t="shared" si="9"/>
        <v>7.7850527172525084</v>
      </c>
      <c r="J27" s="49">
        <f t="shared" si="10"/>
        <v>0.18047039365583556</v>
      </c>
      <c r="K27" s="49">
        <v>9.1188599999999981E-2</v>
      </c>
      <c r="L27" s="49">
        <f t="shared" si="11"/>
        <v>0.16741068478061316</v>
      </c>
      <c r="M27" s="49">
        <f t="shared" si="8"/>
        <v>0.72510413242920613</v>
      </c>
      <c r="N27" s="50"/>
      <c r="O27" s="70"/>
    </row>
    <row r="28" spans="2:15">
      <c r="B28" s="29" t="s">
        <v>66</v>
      </c>
      <c r="G28" s="48"/>
      <c r="H28" s="77">
        <v>9</v>
      </c>
      <c r="I28" s="78">
        <f t="shared" si="9"/>
        <v>7.0442069999525909</v>
      </c>
      <c r="J28" s="49">
        <f t="shared" si="10"/>
        <v>0.16405965270048298</v>
      </c>
      <c r="K28" s="49">
        <v>8.9351399999999997E-2</v>
      </c>
      <c r="L28" s="49">
        <f t="shared" si="11"/>
        <v>0.16403781898292638</v>
      </c>
      <c r="M28" s="49">
        <f t="shared" si="8"/>
        <v>0.64588770269000628</v>
      </c>
      <c r="N28" s="50"/>
      <c r="O28" s="70"/>
    </row>
    <row r="29" spans="2:15">
      <c r="B29" s="141">
        <v>1.737100789425372E-3</v>
      </c>
      <c r="G29" s="48"/>
      <c r="H29" s="77">
        <v>10</v>
      </c>
      <c r="I29" s="78">
        <f t="shared" si="9"/>
        <v>6.3738620739479357</v>
      </c>
      <c r="J29" s="49">
        <f t="shared" si="10"/>
        <v>0.14907502131144834</v>
      </c>
      <c r="K29" s="49">
        <v>8.9351399999999997E-2</v>
      </c>
      <c r="L29" s="49">
        <f t="shared" si="11"/>
        <v>0.16403781898292638</v>
      </c>
      <c r="M29" s="49">
        <f t="shared" si="8"/>
        <v>0.58689459265831811</v>
      </c>
      <c r="N29" s="50"/>
      <c r="O29" s="70"/>
    </row>
    <row r="30" spans="2:15">
      <c r="B30" s="29"/>
      <c r="G30" s="48"/>
      <c r="H30" s="77">
        <v>11</v>
      </c>
      <c r="I30" s="78">
        <f t="shared" si="9"/>
        <v>5.7673089019083763</v>
      </c>
      <c r="J30" s="49">
        <f t="shared" si="10"/>
        <v>0.13540465129278223</v>
      </c>
      <c r="K30" s="49">
        <v>8.9351399999999997E-2</v>
      </c>
      <c r="L30" s="49">
        <f t="shared" si="11"/>
        <v>0.16403781898292638</v>
      </c>
      <c r="M30" s="49">
        <f t="shared" si="8"/>
        <v>0.53307560827708023</v>
      </c>
      <c r="N30" s="50"/>
      <c r="O30" s="70"/>
    </row>
    <row r="31" spans="2:15">
      <c r="B31" s="29" t="s">
        <v>67</v>
      </c>
      <c r="G31" s="48"/>
      <c r="H31" s="77">
        <v>12</v>
      </c>
      <c r="I31" s="78">
        <f t="shared" si="9"/>
        <v>5.2184768958185792</v>
      </c>
      <c r="J31" s="49">
        <f t="shared" si="10"/>
        <v>0.12294319412438229</v>
      </c>
      <c r="K31" s="49">
        <v>8.9351399999999997E-2</v>
      </c>
      <c r="L31" s="49">
        <f t="shared" si="11"/>
        <v>0.16403781898292638</v>
      </c>
      <c r="M31" s="49">
        <f t="shared" si="8"/>
        <v>0.48401600215099677</v>
      </c>
      <c r="N31" s="50"/>
      <c r="O31" s="70"/>
    </row>
    <row r="32" spans="2:15">
      <c r="B32" s="141">
        <v>1.7250281861496716E-3</v>
      </c>
      <c r="G32" s="48"/>
      <c r="H32" s="77">
        <v>13</v>
      </c>
      <c r="I32" s="78">
        <f t="shared" si="9"/>
        <v>4.7218731604927928</v>
      </c>
      <c r="J32" s="49">
        <f t="shared" si="10"/>
        <v>0.11159188746135623</v>
      </c>
      <c r="K32" s="49">
        <v>0.1077234</v>
      </c>
      <c r="L32" s="49">
        <f t="shared" si="11"/>
        <v>0.19776647695979438</v>
      </c>
      <c r="M32" s="49">
        <f t="shared" si="8"/>
        <v>0.52965922657263065</v>
      </c>
      <c r="N32" s="50"/>
      <c r="O32" s="70"/>
    </row>
    <row r="33" spans="7:15">
      <c r="G33" s="48"/>
      <c r="H33" s="77">
        <v>14</v>
      </c>
      <c r="I33" s="78">
        <f t="shared" si="9"/>
        <v>4.2725275188335949</v>
      </c>
      <c r="J33" s="49">
        <f t="shared" si="10"/>
        <v>0.10125851726697398</v>
      </c>
      <c r="K33" s="49">
        <v>0.10313039999999998</v>
      </c>
      <c r="L33" s="49">
        <f t="shared" si="11"/>
        <v>0.18933431246557736</v>
      </c>
      <c r="M33" s="49">
        <f t="shared" si="8"/>
        <v>0.46012108195263146</v>
      </c>
      <c r="N33" s="50"/>
      <c r="O33" s="70"/>
    </row>
    <row r="34" spans="7:15">
      <c r="G34" s="48"/>
      <c r="H34" s="77">
        <v>15</v>
      </c>
      <c r="I34" s="78">
        <f t="shared" si="9"/>
        <v>3.8659427686289747</v>
      </c>
      <c r="J34" s="49">
        <f t="shared" si="10"/>
        <v>9.1857285537450914E-2</v>
      </c>
      <c r="K34" s="49">
        <v>0.12976979999999999</v>
      </c>
      <c r="L34" s="49">
        <f t="shared" si="11"/>
        <v>0.23824086653203599</v>
      </c>
      <c r="M34" s="49">
        <f t="shared" si="8"/>
        <v>0.52521982328935113</v>
      </c>
      <c r="N34" s="50"/>
      <c r="O34" s="70"/>
    </row>
    <row r="35" spans="7:15">
      <c r="G35" s="48"/>
      <c r="H35" s="77">
        <v>16</v>
      </c>
      <c r="I35" s="78">
        <f t="shared" si="9"/>
        <v>3.4980496730410304</v>
      </c>
      <c r="J35" s="49">
        <f t="shared" si="10"/>
        <v>8.3308608175428886E-2</v>
      </c>
      <c r="K35" s="49">
        <v>0.14997899999999997</v>
      </c>
      <c r="L35" s="49">
        <f t="shared" si="11"/>
        <v>0.27534239030659075</v>
      </c>
      <c r="M35" s="49">
        <f t="shared" si="8"/>
        <v>0.55052139139530665</v>
      </c>
      <c r="N35" s="50"/>
      <c r="O35" s="70"/>
    </row>
    <row r="36" spans="7:15">
      <c r="G36" s="48"/>
      <c r="H36" s="77">
        <v>17</v>
      </c>
      <c r="I36" s="78">
        <f t="shared" si="9"/>
        <v>3.1651662343159783</v>
      </c>
      <c r="J36" s="49">
        <f t="shared" si="10"/>
        <v>7.5538862949953323E-2</v>
      </c>
      <c r="K36" s="49">
        <v>0.177537</v>
      </c>
      <c r="L36" s="49">
        <f t="shared" si="11"/>
        <v>0.32593537727189281</v>
      </c>
      <c r="M36" s="49">
        <f t="shared" si="8"/>
        <v>0.59089890706278825</v>
      </c>
      <c r="N36" s="50"/>
      <c r="O36" s="70"/>
    </row>
    <row r="37" spans="7:15" ht="13.5" thickBot="1">
      <c r="G37" s="56" t="s">
        <v>50</v>
      </c>
      <c r="H37" s="79">
        <v>18</v>
      </c>
      <c r="I37" s="80">
        <f t="shared" si="9"/>
        <v>2.8639608431130714</v>
      </c>
      <c r="J37" s="57">
        <f t="shared" si="10"/>
        <v>6.8480103592042679E-2</v>
      </c>
      <c r="K37" s="57">
        <v>0.1839672</v>
      </c>
      <c r="L37" s="49">
        <f t="shared" si="11"/>
        <v>0.33774040756379659</v>
      </c>
      <c r="M37" s="57">
        <f t="shared" si="8"/>
        <v>0.55508395433250013</v>
      </c>
      <c r="N37" s="58"/>
      <c r="O37" s="70"/>
    </row>
    <row r="38" spans="7:15">
      <c r="H38" s="81"/>
      <c r="I38" s="82">
        <v>50</v>
      </c>
      <c r="J38" s="82">
        <f t="shared" si="10"/>
        <v>0.88860808343362807</v>
      </c>
      <c r="K38" s="83">
        <v>0.18856019999999998</v>
      </c>
      <c r="L38" s="59">
        <v>0.10061146467781597</v>
      </c>
      <c r="M38" s="82">
        <f t="shared" si="8"/>
        <v>2.1456998591713012</v>
      </c>
      <c r="N38" s="70"/>
      <c r="O38" s="70"/>
    </row>
    <row r="39" spans="7:15">
      <c r="H39" s="81"/>
      <c r="I39" s="82">
        <v>10</v>
      </c>
      <c r="J39" s="82">
        <f t="shared" si="10"/>
        <v>0.22860690573302161</v>
      </c>
      <c r="K39" s="59">
        <v>0.15824639999999998</v>
      </c>
      <c r="L39" s="59">
        <v>0.10061146467781597</v>
      </c>
      <c r="M39" s="82">
        <f t="shared" si="8"/>
        <v>0.55201141491030503</v>
      </c>
      <c r="O39" s="70"/>
    </row>
    <row r="40" spans="7:15">
      <c r="O40" s="70"/>
    </row>
    <row r="41" spans="7:15">
      <c r="O41" s="70"/>
    </row>
    <row r="42" spans="7:15">
      <c r="O42" s="70"/>
    </row>
    <row r="43" spans="7:15">
      <c r="O43" s="70"/>
    </row>
    <row r="44" spans="7:15">
      <c r="O44" s="70"/>
    </row>
    <row r="45" spans="7:15">
      <c r="O45" s="70"/>
    </row>
    <row r="46" spans="7:15">
      <c r="O46" s="70"/>
    </row>
    <row r="47" spans="7:15">
      <c r="O47" s="70"/>
    </row>
    <row r="48" spans="7:15">
      <c r="O48" s="70"/>
    </row>
    <row r="49" spans="15:15">
      <c r="O49" s="70"/>
    </row>
    <row r="50" spans="15:15">
      <c r="O50" s="70"/>
    </row>
    <row r="51" spans="15:15">
      <c r="O51" s="70"/>
    </row>
    <row r="52" spans="15:15">
      <c r="O52" s="70"/>
    </row>
    <row r="53" spans="15:15">
      <c r="O53" s="70"/>
    </row>
    <row r="54" spans="15:15">
      <c r="O54" s="70"/>
    </row>
    <row r="55" spans="15:15">
      <c r="O55" s="70"/>
    </row>
    <row r="56" spans="15:15">
      <c r="O56" s="70"/>
    </row>
    <row r="57" spans="15:15">
      <c r="O57" s="70"/>
    </row>
    <row r="58" spans="15:15">
      <c r="O58" s="70"/>
    </row>
    <row r="59" spans="15:15">
      <c r="O59" s="70"/>
    </row>
    <row r="60" spans="15:15">
      <c r="O60" s="70"/>
    </row>
    <row r="61" spans="15:15">
      <c r="O61" s="70"/>
    </row>
    <row r="62" spans="15:15">
      <c r="O62" s="70"/>
    </row>
    <row r="63" spans="15:15">
      <c r="O63" s="70"/>
    </row>
    <row r="64" spans="15:15">
      <c r="O64" s="70"/>
    </row>
    <row r="65" spans="15:15">
      <c r="O65" s="70"/>
    </row>
    <row r="66" spans="15:15">
      <c r="O66" s="70"/>
    </row>
    <row r="67" spans="15:15">
      <c r="O67" s="70"/>
    </row>
    <row r="68" spans="15:15">
      <c r="O68" s="70"/>
    </row>
  </sheetData>
  <phoneticPr fontId="2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workbookViewId="0">
      <selection activeCell="E19" sqref="E19"/>
    </sheetView>
  </sheetViews>
  <sheetFormatPr defaultColWidth="11.42578125" defaultRowHeight="12.75"/>
  <cols>
    <col min="1" max="1" width="28.42578125" customWidth="1"/>
    <col min="2" max="3" width="13.140625" customWidth="1"/>
    <col min="4" max="4" width="17.140625" customWidth="1"/>
    <col min="5" max="5" width="14.7109375" customWidth="1"/>
    <col min="6" max="6" width="11.140625" customWidth="1"/>
    <col min="7" max="7" width="26.28515625" customWidth="1"/>
    <col min="8" max="9" width="11.42578125" customWidth="1"/>
    <col min="10" max="10" width="18.28515625" customWidth="1"/>
    <col min="11" max="11" width="11.7109375" customWidth="1"/>
    <col min="12" max="12" width="21" customWidth="1"/>
    <col min="13" max="13" width="17" customWidth="1"/>
    <col min="14" max="14" width="10.42578125" customWidth="1"/>
    <col min="15" max="15" width="11.42578125" style="48" customWidth="1"/>
    <col min="16" max="16" width="11.42578125" style="27" customWidth="1"/>
    <col min="17" max="17" width="19" style="27" customWidth="1"/>
    <col min="18" max="19" width="11.140625" style="27" customWidth="1"/>
    <col min="20" max="20" width="11.42578125" style="27" customWidth="1"/>
    <col min="21" max="21" width="11.5703125" style="54" customWidth="1"/>
  </cols>
  <sheetData>
    <row r="1" spans="1:22" ht="21" thickBot="1">
      <c r="A1" s="1" t="s">
        <v>52</v>
      </c>
      <c r="B1" s="2" t="s">
        <v>53</v>
      </c>
      <c r="C1" s="2" t="s">
        <v>54</v>
      </c>
      <c r="D1" s="2"/>
      <c r="E1" s="3" t="s">
        <v>3</v>
      </c>
      <c r="F1" s="4" t="s">
        <v>4</v>
      </c>
      <c r="G1" s="5"/>
      <c r="H1" s="6" t="s">
        <v>5</v>
      </c>
      <c r="I1" s="7" t="s">
        <v>6</v>
      </c>
      <c r="N1" s="10" t="s">
        <v>7</v>
      </c>
      <c r="O1" s="84" t="s">
        <v>8</v>
      </c>
      <c r="P1" s="85" t="s">
        <v>9</v>
      </c>
      <c r="Q1" s="9"/>
      <c r="R1" s="9"/>
      <c r="S1" s="9"/>
      <c r="T1" s="86" t="s">
        <v>5</v>
      </c>
      <c r="U1" s="87"/>
      <c r="V1" t="s">
        <v>5</v>
      </c>
    </row>
    <row r="2" spans="1:22" ht="13.5" thickBot="1">
      <c r="A2" s="13" t="s">
        <v>55</v>
      </c>
      <c r="B2" t="s">
        <v>10</v>
      </c>
      <c r="C2" t="s">
        <v>11</v>
      </c>
      <c r="D2" s="14" t="s">
        <v>12</v>
      </c>
      <c r="E2" s="15">
        <v>185.01046874999986</v>
      </c>
      <c r="F2" s="16">
        <v>95.239438927608035</v>
      </c>
      <c r="G2" s="17" t="s">
        <v>13</v>
      </c>
      <c r="H2" s="18">
        <v>140</v>
      </c>
      <c r="I2" s="19">
        <v>1.4</v>
      </c>
      <c r="J2" s="17" t="s">
        <v>14</v>
      </c>
      <c r="K2" s="20"/>
      <c r="L2" s="20"/>
      <c r="M2" s="20"/>
      <c r="N2" s="18">
        <v>-1.5</v>
      </c>
      <c r="O2" s="88">
        <v>-0.1</v>
      </c>
      <c r="P2" s="18">
        <v>10</v>
      </c>
      <c r="Q2" s="21" t="s">
        <v>15</v>
      </c>
      <c r="R2" s="89"/>
      <c r="S2" s="89"/>
      <c r="T2" s="22">
        <v>0.2</v>
      </c>
      <c r="U2" s="88" t="s">
        <v>56</v>
      </c>
      <c r="V2" s="19">
        <v>0</v>
      </c>
    </row>
    <row r="3" spans="1:22" ht="18.75" thickBot="1">
      <c r="A3" s="25" t="s">
        <v>17</v>
      </c>
      <c r="B3" s="90"/>
      <c r="C3" s="90"/>
      <c r="D3" s="90"/>
      <c r="E3" s="90"/>
      <c r="F3" s="26"/>
      <c r="G3" t="s">
        <v>57</v>
      </c>
      <c r="H3" t="s">
        <v>58</v>
      </c>
      <c r="J3" t="s">
        <v>18</v>
      </c>
      <c r="K3">
        <v>0.54469999999999996</v>
      </c>
      <c r="N3" s="8" t="s">
        <v>19</v>
      </c>
      <c r="O3" s="15">
        <v>0.35</v>
      </c>
      <c r="Q3" s="28" t="s">
        <v>20</v>
      </c>
      <c r="R3" s="91"/>
      <c r="S3" s="91"/>
      <c r="T3" s="27">
        <v>20</v>
      </c>
    </row>
    <row r="4" spans="1:22" ht="44.25" customHeight="1" thickBot="1">
      <c r="A4" s="29" t="s">
        <v>21</v>
      </c>
      <c r="B4" s="92" t="s">
        <v>22</v>
      </c>
      <c r="C4" s="93" t="s">
        <v>23</v>
      </c>
      <c r="D4" s="93" t="s">
        <v>24</v>
      </c>
      <c r="E4" s="94" t="s">
        <v>25</v>
      </c>
      <c r="G4" t="s">
        <v>26</v>
      </c>
      <c r="H4" s="33" t="s">
        <v>27</v>
      </c>
      <c r="I4" s="34" t="s">
        <v>28</v>
      </c>
      <c r="J4" s="106" t="s">
        <v>68</v>
      </c>
      <c r="K4" s="107" t="s">
        <v>30</v>
      </c>
      <c r="L4" s="107" t="s">
        <v>31</v>
      </c>
      <c r="M4" s="107" t="s">
        <v>69</v>
      </c>
      <c r="N4" s="106" t="s">
        <v>59</v>
      </c>
      <c r="O4" s="108" t="s">
        <v>27</v>
      </c>
      <c r="P4" s="109" t="s">
        <v>28</v>
      </c>
      <c r="Q4" s="110" t="s">
        <v>34</v>
      </c>
      <c r="R4" s="111" t="s">
        <v>30</v>
      </c>
      <c r="S4" s="107" t="s">
        <v>31</v>
      </c>
      <c r="T4" s="111" t="s">
        <v>35</v>
      </c>
      <c r="U4" s="112" t="s">
        <v>59</v>
      </c>
    </row>
    <row r="5" spans="1:22" ht="13.5" thickBot="1">
      <c r="A5" t="s">
        <v>37</v>
      </c>
      <c r="B5" s="49">
        <v>38.449825055932699</v>
      </c>
      <c r="C5" s="49">
        <v>4.2099580530327203E-3</v>
      </c>
      <c r="D5" s="49">
        <v>0.171611800533498</v>
      </c>
      <c r="E5" s="49">
        <v>0.86593623252888696</v>
      </c>
      <c r="G5" s="8" t="s">
        <v>38</v>
      </c>
      <c r="H5" s="43">
        <v>0.01</v>
      </c>
      <c r="I5" s="44">
        <f t="shared" ref="I5:I19" si="0">$E$2*$O$3*EXP($N$2*H5)</f>
        <v>63.78960760101446</v>
      </c>
      <c r="J5" s="40">
        <f t="shared" ref="J5:J11" si="1">$B$6*(1-EXP((-$C$6*I5)/$B$6))*(EXP((-$D$6*I5)/$B$6))</f>
        <v>5.8343073493309826E-2</v>
      </c>
      <c r="K5" s="40">
        <v>2.8001305657276598E-2</v>
      </c>
      <c r="L5" s="40">
        <f>K5/$K$3</f>
        <v>5.1406839833443366E-2</v>
      </c>
      <c r="M5" s="95">
        <f t="shared" ref="M5:M19" si="2">J5*L5*0.1*24</f>
        <v>7.1981592827073445E-3</v>
      </c>
      <c r="N5" s="45">
        <f>SUM(M5:M19)</f>
        <v>1.004523109421662</v>
      </c>
      <c r="O5" s="40">
        <v>0.1</v>
      </c>
      <c r="P5" s="9">
        <f>$E$2*$O$3*EXP($O$2*O5)</f>
        <v>64.10935433972756</v>
      </c>
      <c r="Q5" s="40">
        <f>$B$8*(1-EXP((-$C$8*P5)/$B$8))*(EXP((-$D$8*P5)/$B$8))</f>
        <v>9.0228197511617453E-2</v>
      </c>
      <c r="R5" s="40">
        <v>5.3634997748443915E-2</v>
      </c>
      <c r="S5" s="40">
        <f>R5/$K$3</f>
        <v>9.846704194684032E-2</v>
      </c>
      <c r="T5" s="9">
        <f>Q5*S5*0.1*24</f>
        <v>2.1322808901994152E-2</v>
      </c>
      <c r="U5" s="47">
        <f>SUM(T5:T6)</f>
        <v>4.2450601583024522E-2</v>
      </c>
    </row>
    <row r="6" spans="1:22" ht="13.5" thickBot="1">
      <c r="A6" t="s">
        <v>39</v>
      </c>
      <c r="B6" s="70">
        <v>0.140211591781331</v>
      </c>
      <c r="C6" s="70">
        <v>1.34620094380308E-3</v>
      </c>
      <c r="D6" s="70">
        <v>2.1076534596035901E-4</v>
      </c>
      <c r="E6" s="70">
        <v>0.92518307466314398</v>
      </c>
      <c r="G6" s="48" t="s">
        <v>60</v>
      </c>
      <c r="H6" s="51">
        <v>0.11</v>
      </c>
      <c r="I6" s="52">
        <f t="shared" si="0"/>
        <v>54.904224075217648</v>
      </c>
      <c r="J6" s="49">
        <f t="shared" si="1"/>
        <v>5.2895769156513645E-2</v>
      </c>
      <c r="K6" s="49">
        <v>1.8256359246328065E-2</v>
      </c>
      <c r="L6" s="49">
        <f>K6/$K$3</f>
        <v>3.3516356244406215E-2</v>
      </c>
      <c r="M6" s="96">
        <f t="shared" si="2"/>
        <v>4.2548962628918057E-3</v>
      </c>
      <c r="N6" s="50"/>
      <c r="O6" s="49">
        <v>0.2</v>
      </c>
      <c r="P6" s="27">
        <f>$E$2*$O$3*EXP($O$2*O6)</f>
        <v>63.471455605813766</v>
      </c>
      <c r="Q6" s="49">
        <f>$B$8*(1-EXP((-$C$8*P6)/$B$8))*(EXP((-$D$8*P6)/$B$8))</f>
        <v>8.9402979681079006E-2</v>
      </c>
      <c r="R6" s="49">
        <v>5.3634997748443915E-2</v>
      </c>
      <c r="S6" s="40">
        <f>R6/$K$3</f>
        <v>9.846704194684032E-2</v>
      </c>
      <c r="T6" s="9">
        <f>Q6*S6*0.1*24</f>
        <v>2.1127792681030367E-2</v>
      </c>
    </row>
    <row r="7" spans="1:22" ht="13.5" thickBot="1">
      <c r="A7" t="s">
        <v>41</v>
      </c>
      <c r="B7" s="70">
        <v>7.9731503893564204E-2</v>
      </c>
      <c r="C7" s="70">
        <v>2.14456389019367E-3</v>
      </c>
      <c r="D7" s="70">
        <v>2.8755593231568701E-6</v>
      </c>
      <c r="E7" s="97">
        <v>0.821395119748767</v>
      </c>
      <c r="G7" s="48"/>
      <c r="H7" s="51">
        <v>0.21</v>
      </c>
      <c r="I7" s="52">
        <f t="shared" si="0"/>
        <v>47.256503600968522</v>
      </c>
      <c r="J7" s="49">
        <f t="shared" si="1"/>
        <v>4.7633874107929873E-2</v>
      </c>
      <c r="K7" s="49">
        <v>1.8256359246328065E-2</v>
      </c>
      <c r="L7" s="49">
        <f t="shared" ref="L7:L19" si="3">K7/$K$3</f>
        <v>3.3516356244406215E-2</v>
      </c>
      <c r="M7" s="96">
        <f t="shared" si="2"/>
        <v>3.8316333453661802E-3</v>
      </c>
      <c r="N7" s="50"/>
      <c r="O7" s="49"/>
      <c r="P7" s="122">
        <v>50</v>
      </c>
      <c r="Q7" s="115">
        <f>$B$8*(1-EXP((-$C$8*P7)/$B$8))*(EXP((-$D$8*P7)/$B$8))</f>
        <v>7.1645862998545806E-2</v>
      </c>
      <c r="R7" s="115">
        <v>5.3634997748443915E-2</v>
      </c>
      <c r="S7" s="130">
        <v>9.846704194684032E-2</v>
      </c>
      <c r="T7" s="122">
        <f>Q7*S7*24</f>
        <v>0.16931414873268924</v>
      </c>
      <c r="U7" s="132"/>
    </row>
    <row r="8" spans="1:22" ht="13.5" thickBot="1">
      <c r="A8" t="s">
        <v>61</v>
      </c>
      <c r="B8" s="70">
        <v>65.028959932186197</v>
      </c>
      <c r="C8" s="70">
        <v>1.5270850188227999E-3</v>
      </c>
      <c r="D8" s="70">
        <v>8.2016178841057302E-2</v>
      </c>
      <c r="E8" s="70">
        <v>0.93416208506774001</v>
      </c>
      <c r="G8" s="48"/>
      <c r="H8" s="51">
        <v>0.31</v>
      </c>
      <c r="I8" s="52">
        <f t="shared" si="0"/>
        <v>40.674049587313078</v>
      </c>
      <c r="J8" s="49">
        <f t="shared" si="1"/>
        <v>4.2641249588645617E-2</v>
      </c>
      <c r="K8" s="49">
        <v>6.7137703761696449E-2</v>
      </c>
      <c r="L8" s="49">
        <f t="shared" si="3"/>
        <v>0.12325629477087655</v>
      </c>
      <c r="M8" s="96">
        <f t="shared" si="2"/>
        <v>1.2613925828871896E-2</v>
      </c>
      <c r="N8" s="50"/>
      <c r="O8" s="57"/>
      <c r="P8" s="131">
        <v>10</v>
      </c>
      <c r="Q8" s="113">
        <f>$B$8*(1-EXP((-$C$8*P8)/$B$8))*(EXP((-$D$8*P8)/$B$8))</f>
        <v>1.5077689381560287E-2</v>
      </c>
      <c r="R8" s="113">
        <v>5.3634997748443915E-2</v>
      </c>
      <c r="S8" s="133">
        <v>9.846704194684032E-2</v>
      </c>
      <c r="T8" s="131">
        <f>Q8*S8*24</f>
        <v>3.5631731347092618E-2</v>
      </c>
      <c r="U8" s="98"/>
    </row>
    <row r="9" spans="1:22">
      <c r="G9" s="48"/>
      <c r="H9" s="51">
        <v>0.41</v>
      </c>
      <c r="I9" s="52">
        <f t="shared" si="0"/>
        <v>35.008478913308693</v>
      </c>
      <c r="J9" s="49">
        <f t="shared" si="1"/>
        <v>3.7973683962266101E-2</v>
      </c>
      <c r="K9" s="49">
        <v>6.7137703761696449E-2</v>
      </c>
      <c r="L9" s="49">
        <f t="shared" si="3"/>
        <v>0.12325629477087655</v>
      </c>
      <c r="M9" s="96">
        <f t="shared" si="2"/>
        <v>1.1233189401574029E-2</v>
      </c>
      <c r="N9" s="50"/>
      <c r="O9" s="49"/>
      <c r="Q9" s="49"/>
      <c r="R9" s="49"/>
      <c r="S9" s="49"/>
    </row>
    <row r="10" spans="1:22">
      <c r="G10" s="48"/>
      <c r="H10" s="51">
        <v>0.51</v>
      </c>
      <c r="I10" s="52">
        <f t="shared" si="0"/>
        <v>30.132077043193231</v>
      </c>
      <c r="J10" s="49">
        <f t="shared" si="1"/>
        <v>3.366353350759476E-2</v>
      </c>
      <c r="K10" s="49">
        <v>0.78877042682829002</v>
      </c>
      <c r="L10" s="49">
        <f t="shared" si="3"/>
        <v>1.4480822963618323</v>
      </c>
      <c r="M10" s="96">
        <f t="shared" si="2"/>
        <v>0.11699416057279516</v>
      </c>
      <c r="N10" s="50"/>
      <c r="O10" s="49"/>
      <c r="Q10" s="49"/>
      <c r="R10" s="49"/>
      <c r="S10" s="49"/>
    </row>
    <row r="11" spans="1:22">
      <c r="G11" s="48"/>
      <c r="H11" s="51">
        <v>0.61</v>
      </c>
      <c r="I11" s="52">
        <f t="shared" si="0"/>
        <v>25.934919057330781</v>
      </c>
      <c r="J11" s="49">
        <f t="shared" si="1"/>
        <v>2.9724464726006712E-2</v>
      </c>
      <c r="K11" s="49">
        <v>0.78877042682829002</v>
      </c>
      <c r="L11" s="49">
        <f t="shared" si="3"/>
        <v>1.4480822963618323</v>
      </c>
      <c r="M11" s="96">
        <f t="shared" si="2"/>
        <v>0.10330433073254899</v>
      </c>
      <c r="N11" s="50"/>
      <c r="O11" s="49"/>
    </row>
    <row r="12" spans="1:22" ht="13.5" thickBot="1">
      <c r="G12" s="48"/>
      <c r="H12" s="51">
        <v>0.71</v>
      </c>
      <c r="I12" s="52">
        <f t="shared" si="0"/>
        <v>22.322391700582848</v>
      </c>
      <c r="J12" s="49">
        <f t="shared" ref="J12:J19" si="4">$B$7*(1-EXP((-$C$7*I12)/$B$7))*(EXP((-$D$7*I12)/$B$7))</f>
        <v>3.5963010685543126E-2</v>
      </c>
      <c r="K12" s="49">
        <v>0.73986918635566357</v>
      </c>
      <c r="L12" s="49">
        <f t="shared" si="3"/>
        <v>1.3583058313854666</v>
      </c>
      <c r="M12" s="96">
        <f t="shared" si="2"/>
        <v>0.11723704110804259</v>
      </c>
      <c r="N12" s="50"/>
      <c r="O12" s="49"/>
    </row>
    <row r="13" spans="1:22" ht="17.25" customHeight="1" thickBot="1">
      <c r="A13" s="127" t="s">
        <v>43</v>
      </c>
      <c r="B13" s="99" t="s">
        <v>44</v>
      </c>
      <c r="C13" s="100" t="s">
        <v>45</v>
      </c>
      <c r="D13" s="100" t="s">
        <v>46</v>
      </c>
      <c r="E13" s="69" t="s">
        <v>47</v>
      </c>
      <c r="G13" s="48"/>
      <c r="H13" s="51">
        <v>0.81</v>
      </c>
      <c r="I13" s="52">
        <f t="shared" si="0"/>
        <v>19.213060589576166</v>
      </c>
      <c r="J13" s="49">
        <f t="shared" si="4"/>
        <v>3.21543112858617E-2</v>
      </c>
      <c r="K13" s="49">
        <v>0.73986918635566357</v>
      </c>
      <c r="L13" s="49">
        <f t="shared" si="3"/>
        <v>1.3583058313854666</v>
      </c>
      <c r="M13" s="96">
        <f t="shared" si="2"/>
        <v>0.10482093245704671</v>
      </c>
      <c r="N13" s="50"/>
      <c r="O13" s="49"/>
    </row>
    <row r="14" spans="1:22">
      <c r="A14" s="123" t="s">
        <v>48</v>
      </c>
      <c r="B14" s="125">
        <f>N22</f>
        <v>2.045606586096536</v>
      </c>
      <c r="C14" s="125">
        <f>N5</f>
        <v>1.004523109421662</v>
      </c>
      <c r="D14" s="125">
        <f>U5</f>
        <v>4.2450601583024522E-2</v>
      </c>
      <c r="E14" s="134">
        <f>E16*B29</f>
        <v>1.5769605569747179E-2</v>
      </c>
      <c r="G14" s="48"/>
      <c r="H14" s="51">
        <v>0.91</v>
      </c>
      <c r="I14" s="52">
        <f t="shared" si="0"/>
        <v>16.536834500986128</v>
      </c>
      <c r="J14" s="49">
        <f t="shared" si="4"/>
        <v>2.861015623313375E-2</v>
      </c>
      <c r="K14" s="49">
        <v>0.86708919244901361</v>
      </c>
      <c r="L14" s="49">
        <f t="shared" si="3"/>
        <v>1.5918656002368528</v>
      </c>
      <c r="M14" s="96">
        <f t="shared" si="2"/>
        <v>0.10930445645982623</v>
      </c>
      <c r="N14" s="50"/>
      <c r="O14" s="49"/>
    </row>
    <row r="15" spans="1:22">
      <c r="A15" s="114" t="s">
        <v>51</v>
      </c>
      <c r="B15" s="121">
        <f>M37</f>
        <v>1.0731943605049812</v>
      </c>
      <c r="C15" s="121">
        <f>M21</f>
        <v>1.9874806684449307</v>
      </c>
      <c r="D15" s="121">
        <f>T7</f>
        <v>0.16931414873268924</v>
      </c>
      <c r="E15" s="139">
        <v>280</v>
      </c>
      <c r="G15" s="48"/>
      <c r="H15" s="51">
        <v>1.01</v>
      </c>
      <c r="I15" s="52">
        <f t="shared" si="0"/>
        <v>14.233385359819852</v>
      </c>
      <c r="J15" s="49">
        <f t="shared" si="4"/>
        <v>2.5347819008091653E-2</v>
      </c>
      <c r="K15" s="49">
        <v>0.86708919244901361</v>
      </c>
      <c r="L15" s="49">
        <f t="shared" si="3"/>
        <v>1.5918656002368528</v>
      </c>
      <c r="M15" s="96">
        <f t="shared" si="2"/>
        <v>9.6840770688026212E-2</v>
      </c>
      <c r="N15" s="50"/>
      <c r="O15" s="49"/>
    </row>
    <row r="16" spans="1:22" ht="13.5" thickBot="1">
      <c r="A16" s="116" t="s">
        <v>62</v>
      </c>
      <c r="B16" s="113">
        <f>J37*24</f>
        <v>4.0304372888246114</v>
      </c>
      <c r="C16" s="113">
        <f>J21*24</f>
        <v>1.1900580860459962</v>
      </c>
      <c r="D16" s="113">
        <f>Q7*24</f>
        <v>1.7195007119650993</v>
      </c>
      <c r="E16" s="118">
        <f>E15/B20</f>
        <v>2.4961915215005135</v>
      </c>
      <c r="G16" s="48"/>
      <c r="H16" s="51">
        <v>1.1100000000000001</v>
      </c>
      <c r="I16" s="52">
        <f t="shared" si="0"/>
        <v>12.25078831072859</v>
      </c>
      <c r="J16" s="49">
        <f t="shared" si="4"/>
        <v>2.2372846611265037E-2</v>
      </c>
      <c r="K16" s="49">
        <v>0.63533473820643593</v>
      </c>
      <c r="L16" s="49">
        <f t="shared" si="3"/>
        <v>1.1663938648915659</v>
      </c>
      <c r="M16" s="96">
        <f t="shared" si="2"/>
        <v>6.2629322466095039E-2</v>
      </c>
      <c r="N16" s="50"/>
      <c r="O16" s="49"/>
    </row>
    <row r="17" spans="2:15">
      <c r="E17" s="104"/>
      <c r="G17" s="48"/>
      <c r="H17" s="51">
        <v>1.21</v>
      </c>
      <c r="I17" s="52">
        <f t="shared" si="0"/>
        <v>10.544351216538956</v>
      </c>
      <c r="J17" s="49">
        <f t="shared" si="4"/>
        <v>1.9681677503615928E-2</v>
      </c>
      <c r="K17" s="49">
        <v>0.63533473820643593</v>
      </c>
      <c r="L17" s="49">
        <f t="shared" si="3"/>
        <v>1.1663938648915659</v>
      </c>
      <c r="M17" s="96">
        <f t="shared" si="2"/>
        <v>5.5095810938380729E-2</v>
      </c>
      <c r="N17" s="50"/>
      <c r="O17" s="49"/>
    </row>
    <row r="18" spans="2:15">
      <c r="E18" s="105"/>
      <c r="G18" s="48"/>
      <c r="H18" s="51">
        <v>1.31</v>
      </c>
      <c r="I18" s="52">
        <f t="shared" si="0"/>
        <v>9.0756071983023396</v>
      </c>
      <c r="J18" s="49">
        <f t="shared" si="4"/>
        <v>1.7264046251343802E-2</v>
      </c>
      <c r="K18" s="49">
        <v>1.3964560593382884</v>
      </c>
      <c r="L18" s="49">
        <f t="shared" si="3"/>
        <v>2.5637159158037242</v>
      </c>
      <c r="M18" s="96">
        <f t="shared" si="2"/>
        <v>0.10622426434978013</v>
      </c>
      <c r="N18" s="50"/>
      <c r="O18" s="49"/>
    </row>
    <row r="19" spans="2:15">
      <c r="B19" t="s">
        <v>63</v>
      </c>
      <c r="G19" s="48"/>
      <c r="H19" s="51">
        <v>1.41</v>
      </c>
      <c r="I19" s="52">
        <f t="shared" si="0"/>
        <v>7.8114475064794986</v>
      </c>
      <c r="J19" s="49">
        <f t="shared" si="4"/>
        <v>1.510506275851228E-2</v>
      </c>
      <c r="K19" s="49">
        <v>1.3964560593382884</v>
      </c>
      <c r="L19" s="49">
        <f t="shared" si="3"/>
        <v>2.5637159158037242</v>
      </c>
      <c r="M19" s="96">
        <f t="shared" si="2"/>
        <v>9.2940215527708897E-2</v>
      </c>
      <c r="N19" s="50"/>
      <c r="O19" s="49"/>
    </row>
    <row r="20" spans="2:15">
      <c r="B20">
        <v>112.1708801541342</v>
      </c>
      <c r="G20" s="48"/>
      <c r="H20" s="128"/>
      <c r="I20" s="115">
        <v>10</v>
      </c>
      <c r="J20" s="115">
        <f>$B$7*(1-EXP((-$C$7*I20)/$B$7))*(EXP((-$D$7*I20)/$B$7))</f>
        <v>1.8796800580438554E-2</v>
      </c>
      <c r="K20" s="115">
        <v>0.22554144887339778</v>
      </c>
      <c r="L20" s="115">
        <v>1.6700703030794024</v>
      </c>
      <c r="M20" s="120">
        <f t="shared" ref="M20:M36" si="5">J20*L20*24</f>
        <v>0.75340748261510648</v>
      </c>
      <c r="N20" s="129"/>
      <c r="O20" s="49"/>
    </row>
    <row r="21" spans="2:15" ht="13.5" thickBot="1">
      <c r="G21" s="48"/>
      <c r="H21" s="128"/>
      <c r="I21" s="115">
        <v>50</v>
      </c>
      <c r="J21" s="115">
        <f>$B$6*(1-EXP((-$C$6*I21)/$B$6))*(EXP((-$D$6*I21)/$B$6))</f>
        <v>4.9585753585249845E-2</v>
      </c>
      <c r="K21" s="115">
        <v>0.22554144887339778</v>
      </c>
      <c r="L21" s="115">
        <v>1.6700703030794024</v>
      </c>
      <c r="M21" s="120">
        <f t="shared" si="5"/>
        <v>1.9874806684449307</v>
      </c>
      <c r="N21" s="129"/>
      <c r="O21" s="49"/>
    </row>
    <row r="22" spans="2:15">
      <c r="B22" t="s">
        <v>64</v>
      </c>
      <c r="G22" s="8" t="s">
        <v>8</v>
      </c>
      <c r="H22" s="101">
        <v>1</v>
      </c>
      <c r="I22" s="76">
        <f t="shared" ref="I22:I36" si="6">$E$2*$O$3*EXP($N$2*$H$19)*EXP($O$2*H22)</f>
        <v>7.0680899928863434</v>
      </c>
      <c r="J22" s="40">
        <f t="shared" ref="J22:J38" si="7">$B$5*(1-EXP((-$C$5*I22)/$B$5))*(EXP((-$D$5*I22)/$B$5))</f>
        <v>2.8821143837092406E-2</v>
      </c>
      <c r="K22" s="95">
        <v>0.1213552</v>
      </c>
      <c r="L22" s="40">
        <f>K22/$K$3</f>
        <v>0.22279272994308794</v>
      </c>
      <c r="M22" s="95">
        <f t="shared" si="5"/>
        <v>0.15410739157315734</v>
      </c>
      <c r="N22" s="45">
        <f>SUM(M22:M36)</f>
        <v>2.045606586096536</v>
      </c>
      <c r="O22" s="49"/>
    </row>
    <row r="23" spans="2:15">
      <c r="B23">
        <v>4.1617036901046447</v>
      </c>
      <c r="G23" s="48"/>
      <c r="H23" s="91">
        <v>2</v>
      </c>
      <c r="I23" s="78">
        <f t="shared" si="6"/>
        <v>6.3954722996090831</v>
      </c>
      <c r="J23" s="49">
        <f t="shared" si="7"/>
        <v>2.6157819462198664E-2</v>
      </c>
      <c r="K23" s="96">
        <v>0.19901152</v>
      </c>
      <c r="L23" s="49">
        <f>K23/$K$3</f>
        <v>0.36535986781714708</v>
      </c>
      <c r="M23" s="96">
        <f t="shared" si="5"/>
        <v>0.22936841906624883</v>
      </c>
      <c r="N23" s="50"/>
      <c r="O23" s="49"/>
    </row>
    <row r="24" spans="2:15">
      <c r="G24" s="48"/>
      <c r="H24" s="91">
        <v>3</v>
      </c>
      <c r="I24" s="78">
        <f t="shared" si="6"/>
        <v>5.7868626426987841</v>
      </c>
      <c r="J24" s="49">
        <f t="shared" si="7"/>
        <v>2.3733744911794707E-2</v>
      </c>
      <c r="K24" s="96">
        <v>0.20110016</v>
      </c>
      <c r="L24" s="49">
        <f t="shared" ref="L24:L36" si="8">K24/$K$3</f>
        <v>0.36919434551129066</v>
      </c>
      <c r="M24" s="96">
        <f t="shared" si="5"/>
        <v>0.21029674606180732</v>
      </c>
      <c r="N24" s="50"/>
      <c r="O24" s="49"/>
    </row>
    <row r="25" spans="2:15">
      <c r="B25" t="s">
        <v>65</v>
      </c>
      <c r="G25" s="48"/>
      <c r="H25" s="91">
        <v>4</v>
      </c>
      <c r="I25" s="78">
        <f t="shared" si="6"/>
        <v>5.2361698521483175</v>
      </c>
      <c r="J25" s="49">
        <f t="shared" si="7"/>
        <v>2.1528677963782834E-2</v>
      </c>
      <c r="K25" s="96">
        <v>0.21159471999999999</v>
      </c>
      <c r="L25" s="49">
        <f t="shared" si="8"/>
        <v>0.38846102441711033</v>
      </c>
      <c r="M25" s="96">
        <f t="shared" si="5"/>
        <v>0.20071325510777155</v>
      </c>
      <c r="N25" s="50"/>
      <c r="O25" s="49"/>
    </row>
    <row r="26" spans="2:15">
      <c r="B26">
        <v>4.1578173453694545</v>
      </c>
      <c r="G26" s="48"/>
      <c r="H26" s="91">
        <v>5</v>
      </c>
      <c r="I26" s="78">
        <f t="shared" si="6"/>
        <v>4.737882409415616</v>
      </c>
      <c r="J26" s="49">
        <f t="shared" si="7"/>
        <v>1.9523857345761571E-2</v>
      </c>
      <c r="K26" s="96">
        <v>0.2021616</v>
      </c>
      <c r="L26" s="49">
        <f t="shared" si="8"/>
        <v>0.37114301450339637</v>
      </c>
      <c r="M26" s="96">
        <f t="shared" si="5"/>
        <v>0.17390743848096549</v>
      </c>
      <c r="N26" s="50"/>
      <c r="O26" s="49"/>
    </row>
    <row r="27" spans="2:15">
      <c r="G27" s="48"/>
      <c r="H27" s="91">
        <v>6</v>
      </c>
      <c r="I27" s="78">
        <f t="shared" si="6"/>
        <v>4.2870132862936163</v>
      </c>
      <c r="J27" s="49">
        <f t="shared" si="7"/>
        <v>1.7701939353381511E-2</v>
      </c>
      <c r="K27" s="96">
        <v>0.19690575999999999</v>
      </c>
      <c r="L27" s="49">
        <f t="shared" si="8"/>
        <v>0.36149395997796951</v>
      </c>
      <c r="M27" s="96">
        <f t="shared" si="5"/>
        <v>0.15357945974744974</v>
      </c>
      <c r="N27" s="50"/>
      <c r="O27" s="49"/>
    </row>
    <row r="28" spans="2:15">
      <c r="B28" t="s">
        <v>66</v>
      </c>
      <c r="G28" s="48"/>
      <c r="H28" s="91">
        <v>7</v>
      </c>
      <c r="I28" s="78">
        <f t="shared" si="6"/>
        <v>3.87905003305577</v>
      </c>
      <c r="J28" s="49">
        <f t="shared" si="7"/>
        <v>1.6046927253472749E-2</v>
      </c>
      <c r="K28" s="96">
        <v>0.19901152</v>
      </c>
      <c r="L28" s="49">
        <f t="shared" si="8"/>
        <v>0.36535986781714708</v>
      </c>
      <c r="M28" s="96">
        <f t="shared" si="5"/>
        <v>0.14070967728480427</v>
      </c>
      <c r="N28" s="50"/>
      <c r="O28" s="49"/>
    </row>
    <row r="29" spans="2:15">
      <c r="B29">
        <v>6.3174662015788498E-3</v>
      </c>
      <c r="G29" s="48"/>
      <c r="H29" s="91">
        <v>8</v>
      </c>
      <c r="I29" s="78">
        <f t="shared" si="6"/>
        <v>3.5099096163424863</v>
      </c>
      <c r="J29" s="49">
        <f t="shared" si="7"/>
        <v>1.4544096354070108E-2</v>
      </c>
      <c r="K29" s="96">
        <v>0.21527552</v>
      </c>
      <c r="L29" s="49">
        <f t="shared" si="8"/>
        <v>0.39521850559941252</v>
      </c>
      <c r="M29" s="96">
        <f t="shared" si="5"/>
        <v>0.13795430463238686</v>
      </c>
      <c r="N29" s="50"/>
      <c r="O29" s="49"/>
    </row>
    <row r="30" spans="2:15">
      <c r="G30" s="48"/>
      <c r="H30" s="91">
        <v>9</v>
      </c>
      <c r="I30" s="78">
        <f t="shared" si="6"/>
        <v>3.1758975547909212</v>
      </c>
      <c r="J30" s="49">
        <f t="shared" si="7"/>
        <v>1.3179917003227711E-2</v>
      </c>
      <c r="K30" s="96">
        <v>0.19795007999999997</v>
      </c>
      <c r="L30" s="49">
        <f t="shared" si="8"/>
        <v>0.3634111988250413</v>
      </c>
      <c r="M30" s="96">
        <f t="shared" si="5"/>
        <v>0.11495350652538068</v>
      </c>
      <c r="N30" s="50"/>
      <c r="O30" s="49"/>
    </row>
    <row r="31" spans="2:15">
      <c r="B31" t="s">
        <v>67</v>
      </c>
      <c r="G31" s="48"/>
      <c r="H31" s="91">
        <v>10</v>
      </c>
      <c r="I31" s="78">
        <f t="shared" si="6"/>
        <v>2.8736709434237344</v>
      </c>
      <c r="J31" s="49">
        <f t="shared" si="7"/>
        <v>1.1941977266812648E-2</v>
      </c>
      <c r="K31" s="96">
        <v>0.21212544</v>
      </c>
      <c r="L31" s="49">
        <f t="shared" si="8"/>
        <v>0.38943535891316322</v>
      </c>
      <c r="M31" s="96">
        <f t="shared" si="5"/>
        <v>0.11161507687281647</v>
      </c>
      <c r="N31" s="50"/>
      <c r="O31" s="49"/>
    </row>
    <row r="32" spans="2:15">
      <c r="B32">
        <v>6.311566730270831E-3</v>
      </c>
      <c r="G32" s="48"/>
      <c r="H32" s="91">
        <v>11</v>
      </c>
      <c r="I32" s="78">
        <f t="shared" si="6"/>
        <v>2.6002049967324918</v>
      </c>
      <c r="J32" s="49">
        <f t="shared" si="7"/>
        <v>1.0818906616487009E-2</v>
      </c>
      <c r="K32" s="96">
        <v>0.22261999999999998</v>
      </c>
      <c r="L32" s="49">
        <f t="shared" si="8"/>
        <v>0.4087020378189829</v>
      </c>
      <c r="M32" s="96">
        <f t="shared" si="5"/>
        <v>0.10612102034715643</v>
      </c>
      <c r="N32" s="50"/>
      <c r="O32" s="49"/>
    </row>
    <row r="33" spans="7:15">
      <c r="G33" s="48"/>
      <c r="H33" s="91">
        <v>12</v>
      </c>
      <c r="I33" s="78">
        <f t="shared" si="6"/>
        <v>2.3527627756076281</v>
      </c>
      <c r="J33" s="49">
        <f t="shared" si="7"/>
        <v>9.8003016184789286E-3</v>
      </c>
      <c r="K33" s="96">
        <v>0.2026752</v>
      </c>
      <c r="L33" s="49">
        <f t="shared" si="8"/>
        <v>0.37208591885441528</v>
      </c>
      <c r="M33" s="96">
        <f t="shared" si="5"/>
        <v>8.7517301586291479E-2</v>
      </c>
      <c r="N33" s="50"/>
      <c r="O33" s="49"/>
    </row>
    <row r="34" spans="7:15">
      <c r="G34" s="48"/>
      <c r="H34" s="91">
        <v>13</v>
      </c>
      <c r="I34" s="78">
        <f t="shared" si="6"/>
        <v>2.1288677951319244</v>
      </c>
      <c r="J34" s="49">
        <f t="shared" si="7"/>
        <v>8.8766543387468321E-3</v>
      </c>
      <c r="K34" s="96">
        <v>0.20686959999999999</v>
      </c>
      <c r="L34" s="49">
        <f t="shared" si="8"/>
        <v>0.37978630438773636</v>
      </c>
      <c r="M34" s="96">
        <f t="shared" si="5"/>
        <v>8.0909561919360606E-2</v>
      </c>
      <c r="N34" s="50"/>
      <c r="O34" s="49"/>
    </row>
    <row r="35" spans="7:15">
      <c r="G35" s="48"/>
      <c r="H35" s="91">
        <v>14</v>
      </c>
      <c r="I35" s="78">
        <f t="shared" si="6"/>
        <v>1.9262792390870764</v>
      </c>
      <c r="J35" s="49">
        <f t="shared" si="7"/>
        <v>8.0392839599575175E-3</v>
      </c>
      <c r="K35" s="96">
        <v>0.21212544</v>
      </c>
      <c r="L35" s="49">
        <f t="shared" si="8"/>
        <v>0.38943535891316322</v>
      </c>
      <c r="M35" s="96">
        <f t="shared" si="5"/>
        <v>7.5138754424421417E-2</v>
      </c>
      <c r="N35" s="50"/>
      <c r="O35" s="49"/>
    </row>
    <row r="36" spans="7:15" ht="13.5" thickBot="1">
      <c r="G36" s="56" t="s">
        <v>50</v>
      </c>
      <c r="H36" s="102">
        <v>15</v>
      </c>
      <c r="I36" s="80">
        <f t="shared" si="6"/>
        <v>1.7429695331118233</v>
      </c>
      <c r="J36" s="57">
        <f t="shared" si="7"/>
        <v>7.2802719310265766E-3</v>
      </c>
      <c r="K36" s="103">
        <v>0.21421407999999997</v>
      </c>
      <c r="L36" s="49">
        <f t="shared" si="8"/>
        <v>0.39326983660730674</v>
      </c>
      <c r="M36" s="103">
        <f t="shared" si="5"/>
        <v>6.8714672466517995E-2</v>
      </c>
      <c r="N36" s="58"/>
      <c r="O36" s="49"/>
    </row>
    <row r="37" spans="7:15" ht="13.5" thickBot="1">
      <c r="G37" s="56"/>
      <c r="H37" s="122"/>
      <c r="I37" s="122">
        <v>50</v>
      </c>
      <c r="J37" s="115">
        <f t="shared" si="7"/>
        <v>0.1679348870343588</v>
      </c>
      <c r="K37" s="120">
        <v>7.900252358310679E-2</v>
      </c>
      <c r="L37" s="120">
        <v>0.26627243735578748</v>
      </c>
      <c r="M37" s="120">
        <f>J37*L37*24</f>
        <v>1.0731943605049812</v>
      </c>
      <c r="N37" s="5"/>
      <c r="O37" s="53"/>
    </row>
    <row r="38" spans="7:15">
      <c r="H38" s="122"/>
      <c r="I38" s="122">
        <v>10</v>
      </c>
      <c r="J38" s="115">
        <f t="shared" si="7"/>
        <v>4.0239846240163565E-2</v>
      </c>
      <c r="K38" s="120">
        <v>7.900252358310679E-2</v>
      </c>
      <c r="L38" s="120">
        <v>0.26627243735578748</v>
      </c>
      <c r="M38" s="120">
        <f>J38*L38*24</f>
        <v>0.25715428649257138</v>
      </c>
      <c r="N38" s="5"/>
      <c r="O38" s="53"/>
    </row>
    <row r="39" spans="7:15">
      <c r="O39" s="53"/>
    </row>
    <row r="40" spans="7:15">
      <c r="O40" s="53"/>
    </row>
    <row r="41" spans="7:15">
      <c r="O41" s="53"/>
    </row>
    <row r="42" spans="7:15">
      <c r="O42" s="53"/>
    </row>
    <row r="43" spans="7:15">
      <c r="O43" s="53"/>
    </row>
    <row r="44" spans="7:15">
      <c r="O44" s="53"/>
    </row>
    <row r="45" spans="7:15">
      <c r="O45" s="53"/>
    </row>
    <row r="46" spans="7:15">
      <c r="O46" s="53"/>
    </row>
    <row r="47" spans="7:15">
      <c r="O47" s="53"/>
    </row>
    <row r="48" spans="7:15">
      <c r="O48" s="53"/>
    </row>
    <row r="49" spans="15:15">
      <c r="O49" s="53"/>
    </row>
    <row r="50" spans="15:15">
      <c r="O50" s="53"/>
    </row>
    <row r="51" spans="15:15">
      <c r="O51" s="53"/>
    </row>
    <row r="52" spans="15:15">
      <c r="O52" s="53"/>
    </row>
    <row r="53" spans="15:15">
      <c r="O53" s="53"/>
    </row>
    <row r="54" spans="15:15">
      <c r="O54" s="53"/>
    </row>
    <row r="55" spans="15:15">
      <c r="O55" s="53"/>
    </row>
    <row r="56" spans="15:15">
      <c r="O56" s="53"/>
    </row>
    <row r="57" spans="15:15">
      <c r="O57" s="53"/>
    </row>
    <row r="58" spans="15:15">
      <c r="O58" s="53"/>
    </row>
    <row r="59" spans="15:15">
      <c r="O59" s="53"/>
    </row>
    <row r="60" spans="15:15">
      <c r="O60" s="53"/>
    </row>
    <row r="61" spans="15:15">
      <c r="O61" s="53"/>
    </row>
    <row r="62" spans="15:15">
      <c r="O62" s="53"/>
    </row>
    <row r="63" spans="15:15">
      <c r="O63" s="53"/>
    </row>
    <row r="64" spans="15:15">
      <c r="O64" s="53"/>
    </row>
    <row r="65" spans="15:15">
      <c r="O65" s="53"/>
    </row>
    <row r="66" spans="15:15">
      <c r="O66" s="53"/>
    </row>
    <row r="67" spans="15:15">
      <c r="O67" s="53"/>
    </row>
    <row r="68" spans="15:15">
      <c r="O68" s="53"/>
    </row>
    <row r="69" spans="15:15">
      <c r="O69" s="53"/>
    </row>
    <row r="70" spans="15:15">
      <c r="O70" s="53"/>
    </row>
    <row r="72" spans="15:15">
      <c r="O72" s="27"/>
    </row>
    <row r="73" spans="15:15">
      <c r="O73" s="27"/>
    </row>
  </sheetData>
  <phoneticPr fontId="20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224 (ICE 1)</vt:lpstr>
      <vt:lpstr>237 (ICE 2)</vt:lpstr>
      <vt:lpstr>Sheet1</vt:lpstr>
      <vt:lpstr>Sheet2</vt:lpstr>
      <vt:lpstr>Sheet3</vt:lpstr>
    </vt:vector>
  </TitlesOfParts>
  <Company>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mfernand</dc:creator>
  <cp:lastModifiedBy>philipp assmy</cp:lastModifiedBy>
  <dcterms:created xsi:type="dcterms:W3CDTF">2013-04-11T22:43:06Z</dcterms:created>
  <dcterms:modified xsi:type="dcterms:W3CDTF">2013-08-15T09:24:09Z</dcterms:modified>
</cp:coreProperties>
</file>